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"/>
    </mc:Choice>
  </mc:AlternateContent>
  <xr:revisionPtr revIDLastSave="0" documentId="13_ncr:1_{C53C99A2-220B-4DFF-BFA2-B2FA818A6982}" xr6:coauthVersionLast="47" xr6:coauthVersionMax="47" xr10:uidLastSave="{00000000-0000-0000-0000-000000000000}"/>
  <bookViews>
    <workbookView xWindow="-108" yWindow="-108" windowWidth="23256" windowHeight="12576" tabRatio="910" xr2:uid="{00000000-000D-0000-FFFF-FFFF00000000}"/>
  </bookViews>
  <sheets>
    <sheet name="TOTAL CONTRATO" sheetId="84" r:id="rId1"/>
    <sheet name="Serviços Gerais 40h" sheetId="62" r:id="rId2"/>
    <sheet name="Uniformes" sheetId="25" r:id="rId3"/>
    <sheet name="CTG" sheetId="48" r:id="rId4"/>
  </sheets>
  <externalReferences>
    <externalReference r:id="rId5"/>
    <externalReference r:id="rId6"/>
  </externalReferences>
  <definedNames>
    <definedName name="_xlnm.Print_Area" localSheetId="3">CTG!$B$2:$D$15</definedName>
    <definedName name="_xlnm.Print_Area" localSheetId="1">'Serviços Gerais 40h'!$A$1:$C$118</definedName>
    <definedName name="_xlnm.Print_Area" localSheetId="2">Uniformes!$B$1:$H$12</definedName>
    <definedName name="Equip.comuns.armados">[1]Equipamentos!$N$27</definedName>
    <definedName name="Equip.comuns.todos">[1]Equipamentos!$N$15</definedName>
    <definedName name="mat.usocomum">'[2]Mat Uso Comum '!$G$10</definedName>
    <definedName name="UNIF.agenteseg">[1]Uniformes!#REF!</definedName>
    <definedName name="UNIF.armado">[1]Uniformes!$H$14</definedName>
    <definedName name="UNIF.bomb.brigadista">[1]Uniformes!#REF!</definedName>
    <definedName name="UNIF.desarmado">[1]Uniformes!$H$26</definedName>
    <definedName name="UNIF.supervisor">[1]Uniformes!#REF!</definedName>
  </definedNames>
  <calcPr calcId="191029"/>
</workbook>
</file>

<file path=xl/calcChain.xml><?xml version="1.0" encoding="utf-8"?>
<calcChain xmlns="http://schemas.openxmlformats.org/spreadsheetml/2006/main">
  <c r="C119" i="62" l="1"/>
  <c r="C56" i="62"/>
  <c r="C55" i="62"/>
  <c r="B71" i="62"/>
  <c r="C51" i="62"/>
  <c r="C50" i="62"/>
  <c r="C25" i="62"/>
  <c r="B33" i="62"/>
  <c r="B34" i="62" s="1"/>
  <c r="B103" i="62"/>
  <c r="C60" i="62" l="1"/>
  <c r="G7" i="25" l="1"/>
  <c r="G5" i="25" l="1"/>
  <c r="G6" i="25"/>
  <c r="G8" i="25" l="1"/>
  <c r="G9" i="25" s="1"/>
  <c r="C84" i="62" s="1"/>
  <c r="C86" i="62" l="1"/>
  <c r="B47" i="62" l="1"/>
  <c r="C26" i="62"/>
  <c r="C30" i="62" s="1"/>
  <c r="C7" i="48"/>
  <c r="C9" i="48" s="1"/>
  <c r="C68" i="62" l="1"/>
  <c r="C65" i="62"/>
  <c r="C66" i="62"/>
  <c r="C67" i="62"/>
  <c r="C70" i="62"/>
  <c r="C78" i="62"/>
  <c r="C35" i="62"/>
  <c r="C34" i="62"/>
  <c r="C45" i="62"/>
  <c r="C111" i="62"/>
  <c r="C43" i="62"/>
  <c r="C79" i="62"/>
  <c r="C46" i="62"/>
  <c r="C12" i="48"/>
  <c r="C14" i="48" s="1"/>
  <c r="D12" i="48"/>
  <c r="D14" i="48" s="1"/>
  <c r="C41" i="62"/>
  <c r="C39" i="62"/>
  <c r="C42" i="62"/>
  <c r="C44" i="62"/>
  <c r="C40" i="62"/>
  <c r="C31" i="62"/>
  <c r="C32" i="62"/>
  <c r="C47" i="62" l="1"/>
  <c r="C59" i="62" s="1"/>
  <c r="C61" i="62" s="1"/>
  <c r="C69" i="62"/>
  <c r="B36" i="62"/>
  <c r="C33" i="62"/>
  <c r="C71" i="62" l="1"/>
  <c r="C36" i="62"/>
  <c r="C113" i="62" l="1"/>
  <c r="C73" i="62"/>
  <c r="C77" i="62" s="1"/>
  <c r="C76" i="62" l="1"/>
  <c r="C75" i="62"/>
  <c r="C115" i="62"/>
  <c r="C80" i="62" l="1"/>
  <c r="C114" i="62" s="1"/>
  <c r="C90" i="62" l="1"/>
  <c r="C92" i="62" s="1"/>
  <c r="C112" i="62" l="1"/>
  <c r="C116" i="62" s="1"/>
  <c r="C93" i="62" l="1"/>
  <c r="C95" i="62" s="1"/>
  <c r="C97" i="62" s="1"/>
  <c r="C100" i="62" s="1"/>
  <c r="C102" i="62" l="1"/>
  <c r="C101" i="62"/>
  <c r="C103" i="62" l="1"/>
  <c r="C105" i="62" s="1"/>
  <c r="C117" i="62" s="1"/>
  <c r="C118" i="62" s="1"/>
  <c r="C120" i="62" l="1"/>
  <c r="G10" i="84"/>
  <c r="G11" i="84" l="1"/>
  <c r="G14" i="84" l="1"/>
  <c r="G16" i="84" s="1"/>
  <c r="G18" i="8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Márcio Rodrigo Oliveira Filho</author>
  </authors>
  <commentList>
    <comment ref="C24" authorId="0" shapeId="0" xr:uid="{00000000-0006-0000-0100-000001000000}">
      <text>
        <r>
          <rPr>
            <b/>
            <sz val="9"/>
            <color indexed="81"/>
            <rFont val="Segoe UI"/>
            <charset val="1"/>
          </rPr>
          <t>Márcio Rodrigo Oliveira Filho:</t>
        </r>
        <r>
          <rPr>
            <sz val="9"/>
            <color indexed="81"/>
            <rFont val="Segoe UI"/>
            <charset val="1"/>
          </rPr>
          <t xml:space="preserve">
Proporcional a 40 horas</t>
        </r>
      </text>
    </comment>
  </commentList>
</comments>
</file>

<file path=xl/sharedStrings.xml><?xml version="1.0" encoding="utf-8"?>
<sst xmlns="http://schemas.openxmlformats.org/spreadsheetml/2006/main" count="157" uniqueCount="140">
  <si>
    <t>PLANILHA DE CONTINGENCIAMENTO DOS ENCARGOS TRABALHISTAS*</t>
  </si>
  <si>
    <t>* Conforme Resolução nº 169/2013 do Conselho Nacional de Justiça - CNJ</t>
  </si>
  <si>
    <t>13º Salário</t>
  </si>
  <si>
    <t>C - Adicional de férias</t>
  </si>
  <si>
    <t>B - Lucro</t>
  </si>
  <si>
    <t>C - Tributos</t>
  </si>
  <si>
    <t xml:space="preserve">   SUBTOTAL Tributos</t>
  </si>
  <si>
    <t>A - Data da apresentação da proposta (dia/mês/ano)</t>
  </si>
  <si>
    <t>MÓDULO 1: COMPOSIÇÃO DA REMUNERAÇÃO</t>
  </si>
  <si>
    <t>%</t>
  </si>
  <si>
    <t xml:space="preserve">TOTAL DA REMUNERAÇÃO :    </t>
  </si>
  <si>
    <t>A - Uniformes</t>
  </si>
  <si>
    <t>A - INSS</t>
  </si>
  <si>
    <t>TOTAL</t>
  </si>
  <si>
    <t>Valor (R$)</t>
  </si>
  <si>
    <t>A - 13º salário</t>
  </si>
  <si>
    <t>Subtotal</t>
  </si>
  <si>
    <t>A - Aviso prévio indenizado</t>
  </si>
  <si>
    <t>B - Incidência do FGTS sobre o aviso prévio indenizado</t>
  </si>
  <si>
    <t>C - Multa do FGTS do aviso prévio indenizado</t>
  </si>
  <si>
    <t>D - Aviso prévio trabalhado</t>
  </si>
  <si>
    <t xml:space="preserve">        PIS</t>
  </si>
  <si>
    <t>QUADRO-RESUMO DO CUSTO POR EMPREGADO</t>
  </si>
  <si>
    <t>Mão-de-obra vinculada à execução contratual (Valor por empregado)</t>
  </si>
  <si>
    <t>(R$)</t>
  </si>
  <si>
    <t>A - Módulo 1 - Composição da Remuneração</t>
  </si>
  <si>
    <t>VALOR TOTAL POR EMPREGADO</t>
  </si>
  <si>
    <t>PLANILHA DE CUSTOS E FORMAÇÃO DE PREÇOS</t>
  </si>
  <si>
    <t>Discriminação dos Serviços</t>
  </si>
  <si>
    <t>D - Tipo de Serviço</t>
  </si>
  <si>
    <t xml:space="preserve">CÁLCULO DOS TRIBUTOS = Base de Cálculo dos Tributos / (1-(Total de Tributos em % dividido por 100)] x Alíquota do tributo </t>
  </si>
  <si>
    <t>B- Férias</t>
  </si>
  <si>
    <t>Item</t>
  </si>
  <si>
    <t>Tipo de Serviço</t>
  </si>
  <si>
    <t>UNIFORMES</t>
  </si>
  <si>
    <t>Especificação</t>
  </si>
  <si>
    <t>Preço unt</t>
  </si>
  <si>
    <t>Total Geral</t>
  </si>
  <si>
    <t>TOTAL ANUAL POR EMPREGADO</t>
  </si>
  <si>
    <t>RATEIO MENSAL CUSTO UNIFORME</t>
  </si>
  <si>
    <t>ENCARGO</t>
  </si>
  <si>
    <t>PERCENTUAL</t>
  </si>
  <si>
    <t xml:space="preserve">Férias </t>
  </si>
  <si>
    <t>1/3 Constitucional</t>
  </si>
  <si>
    <t xml:space="preserve">Mínimo </t>
  </si>
  <si>
    <t>Máximo</t>
  </si>
  <si>
    <t>Encargos Previdenciários/FGTS</t>
  </si>
  <si>
    <t>Incidência dos encargos previdenciários e FGTS sobre férias, 1/3 constitucional e 13º salário*</t>
  </si>
  <si>
    <t>Multa do FGTS por dispensa sem justa causa</t>
  </si>
  <si>
    <t>Total de encargos a contingenciar</t>
  </si>
  <si>
    <t>* Variação percentual possível em função do RAT ajustado (RATxFAP)</t>
  </si>
  <si>
    <t>B - Município/UF</t>
  </si>
  <si>
    <t>C - Ano do Acordo, Convenção ou Dissídio Coletivo</t>
  </si>
  <si>
    <t>MÓDULO 2: Encargos e Benefícios Anuais, Mensais e Diários</t>
  </si>
  <si>
    <t>2.1 - Contingenciamento - Resolução 169/2013 CNJ</t>
  </si>
  <si>
    <t>B - Salário Educação</t>
  </si>
  <si>
    <t>D - SESC ou SESI</t>
  </si>
  <si>
    <t>E - SENAI - SENAC</t>
  </si>
  <si>
    <t>F -  SEBRAE</t>
  </si>
  <si>
    <t>G - INCRA</t>
  </si>
  <si>
    <t>H - FGTS</t>
  </si>
  <si>
    <t>2.3 - Benefícios Mensais e Diários</t>
  </si>
  <si>
    <t xml:space="preserve">TOTAL </t>
  </si>
  <si>
    <t>MÓDULO 3: Provisão para Rescisão</t>
  </si>
  <si>
    <t>3 - Provisão para rescisão</t>
  </si>
  <si>
    <t>E - Incidência do submódulo 2.2 sobre aviso prévio trabalhado</t>
  </si>
  <si>
    <t>5 - INSUMOS DIVERSOS</t>
  </si>
  <si>
    <t>MÓDULO 6: Custos Indiretos, Tributos e Lucros</t>
  </si>
  <si>
    <t>BASE DE CÁLCULO DOS TRIBUTOS</t>
  </si>
  <si>
    <t>6 - Custos indiretos, tributos e lucro</t>
  </si>
  <si>
    <t>B - Módulo 2 - Encargos e Benefícios Anuais, Mensais e Diários</t>
  </si>
  <si>
    <t>C - Módulo 3 - Provisão para Rescisão</t>
  </si>
  <si>
    <t>D - Módulo 4 - Custo de Reposição do Profissional Ausente</t>
  </si>
  <si>
    <t>E - Módulo 5 - Insumos Diversos</t>
  </si>
  <si>
    <t>F - Módulo 6 - Custos indiretos, tributos e lucro</t>
  </si>
  <si>
    <t>D - Benefício Social Familiar</t>
  </si>
  <si>
    <t>Quadro-Resumo do Módulo 2</t>
  </si>
  <si>
    <t xml:space="preserve">        COFINS</t>
  </si>
  <si>
    <t>E - Multa do FGTS por dispensa sem justa causa</t>
  </si>
  <si>
    <t>MÓDULO 4: Custo de Reposição do Profissional Ausente</t>
  </si>
  <si>
    <t>MÓDULO 5: Insumos Diversos</t>
  </si>
  <si>
    <t>BASE DE CÁLCULO DOS CUSTOS INDIRETOS/DESPESAS OPERACIONAIS/ADMINISTRATIVAS  (Módulo 1 + Módulo 2+ Módulo 3 + Módulo 4 + Módulo 5)</t>
  </si>
  <si>
    <t xml:space="preserve">BASE DE CÁLCULO DO LUCRO = ((Módulo 1 + Módulo 2+ Módulo 3 + Módulo 4 + Módulo 5 + Custos Indiretos) </t>
  </si>
  <si>
    <t xml:space="preserve">   C1. Tributos Federais</t>
  </si>
  <si>
    <r>
      <t xml:space="preserve">   C2. Tributos Municipais  - </t>
    </r>
    <r>
      <rPr>
        <b/>
        <sz val="10"/>
        <color indexed="8"/>
        <rFont val="Arial"/>
        <family val="2"/>
      </rPr>
      <t>ISS</t>
    </r>
  </si>
  <si>
    <t>E - Número de meses de execução contratual</t>
  </si>
  <si>
    <t>2.2 - Encargos Previdenciários (GPS), Fundo de Garantia por Tempo de Serviço (FGTS) e outras contribuições.</t>
  </si>
  <si>
    <t>C - RAT Ajustado</t>
  </si>
  <si>
    <t>2.2 - GPS, FGTS e outras contribuições</t>
  </si>
  <si>
    <t>Subtotal (A+B+C+D+E)</t>
  </si>
  <si>
    <t>F - Multa do FGTS sobre o aviso prévio trabalhado</t>
  </si>
  <si>
    <t>Quantidade ANUAL por empregado</t>
  </si>
  <si>
    <t>4 - Custo de Reposição do Profissional Ausente</t>
  </si>
  <si>
    <t>A - Substituto na cobertura de Ausências Legais</t>
  </si>
  <si>
    <t>B - Substituto na cobertura de Licença-Paternidade</t>
  </si>
  <si>
    <t xml:space="preserve">C -Substituto na cobertura de Ausência por acidente de trabalho </t>
  </si>
  <si>
    <t>D - Substituto na cobertura de Afastamento Maternidade</t>
  </si>
  <si>
    <t>E - Substituto na cobertura de Outras ausências (especificar)</t>
  </si>
  <si>
    <t>Unidade</t>
  </si>
  <si>
    <t>Par</t>
  </si>
  <si>
    <t>VALOR GLOBAL  ESTIMADO</t>
  </si>
  <si>
    <t>I</t>
  </si>
  <si>
    <t>VALOR DOS SERVIÇOS (I A III )</t>
  </si>
  <si>
    <t>Qtde. Prevista.</t>
  </si>
  <si>
    <t xml:space="preserve">QUADRO-RESUMO - TOTAL ESTIMADO DOS SERVIÇOS </t>
  </si>
  <si>
    <t xml:space="preserve">T O T A L </t>
  </si>
  <si>
    <t>D - Incidência do módulo 4 sobre 13º Salário e Adicional de Férias</t>
  </si>
  <si>
    <t>C - Outros (produtos e equipamentos)</t>
  </si>
  <si>
    <t>Meses</t>
  </si>
  <si>
    <t>Unit/Mês</t>
  </si>
  <si>
    <r>
      <t xml:space="preserve">IMPORTANTE: Para efeito de elaboração da planilha de custos os dados abaixo deverão ser informados/cotados os </t>
    </r>
    <r>
      <rPr>
        <b/>
        <i/>
        <u/>
        <sz val="12"/>
        <color indexed="8"/>
        <rFont val="Arial"/>
        <family val="2"/>
      </rPr>
      <t>valores unitários por empregado</t>
    </r>
  </si>
  <si>
    <t>C - Assistência Médica</t>
  </si>
  <si>
    <t>E - Qualificação/ Formação Profissional</t>
  </si>
  <si>
    <r>
      <t>A - Custos indiretos</t>
    </r>
    <r>
      <rPr>
        <sz val="10"/>
        <rFont val="Arial"/>
        <family val="2"/>
      </rPr>
      <t xml:space="preserve"> </t>
    </r>
  </si>
  <si>
    <t>VALOR MENSAL  ESTIMADO</t>
  </si>
  <si>
    <t xml:space="preserve">sapato de couro, com solado baixo e com palmilha antibacteriana </t>
  </si>
  <si>
    <t>CONTRATO/DIAS TRABALHADO</t>
  </si>
  <si>
    <t>12 MESES</t>
  </si>
  <si>
    <t>SERVIÇO MÃO DE OBRA SERVIÇO DE LIMPEZA</t>
  </si>
  <si>
    <t>SERVIÇO MÃO DE OBRA LIMPEZA</t>
  </si>
  <si>
    <t xml:space="preserve">B - Adicional de Insalubridade </t>
  </si>
  <si>
    <t xml:space="preserve">Salário Proporcional  = 12X36 </t>
  </si>
  <si>
    <t>VALOR GLOBAL ESTIMADO  12 MÊS</t>
  </si>
  <si>
    <t xml:space="preserve">A - Transporte                  15 dias 2 passe por diaria=  30 vale           </t>
  </si>
  <si>
    <t>B - Vale Alimentação       15 dias</t>
  </si>
  <si>
    <t>F - Adicional de Assiduidade</t>
  </si>
  <si>
    <t>Calça na cor preta ou cinza</t>
  </si>
  <si>
    <t>SERVENTE DE LIMPEZA</t>
  </si>
  <si>
    <t>camisete manga curto e manga longa, de comprimento pouco abaixo da linha da cintura.</t>
  </si>
  <si>
    <t>Municipio Herval D´oeste SC</t>
  </si>
  <si>
    <t xml:space="preserve">    24 DE JULHO DE 2024</t>
  </si>
  <si>
    <t>PREGÃO ELETRÔNICO Nº 040/2024</t>
  </si>
  <si>
    <t xml:space="preserve">
PROCESSO LICITATÓRIO Nº 072/2024</t>
  </si>
  <si>
    <t>SERVIÇOS SERVENTE DE LIMPEZA JORNADA 12X36</t>
  </si>
  <si>
    <r>
      <rPr>
        <i/>
        <sz val="6"/>
        <color rgb="FF000000"/>
        <rFont val="Arial"/>
        <family val="2"/>
      </rPr>
      <t>SIND DAS EMPR DE ASSEIO E CONSERVACAO  MAO DE OBRA DO EST</t>
    </r>
    <r>
      <rPr>
        <i/>
        <sz val="7"/>
        <color rgb="FF000000"/>
        <rFont val="Arial"/>
        <family val="2"/>
      </rPr>
      <t xml:space="preserve"> SC,cct 2024</t>
    </r>
  </si>
  <si>
    <t xml:space="preserve">1 - COMPOSIÇÃO DA REMUNERAÇÃO </t>
  </si>
  <si>
    <t xml:space="preserve"> Prefeitura Municipal de HERVAL D´OESTE SC</t>
  </si>
  <si>
    <t>VALOR TOTAL DE 4 FUNCIONARIO MENSAL</t>
  </si>
  <si>
    <t>VALOR TOTAL DE 4 FUNCIONARIO 12 MÊS</t>
  </si>
  <si>
    <t xml:space="preserve">Serv. Gerais - 12X36 h semanais 4 auxiliares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</si>
</sst>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%"/>
    <numFmt numFmtId="167" formatCode="_-[$R$-416]\ * #,##0.00_-;\-[$R$-416]\ * #,##0.00_-;_-[$R$-416]\ * &quot;-&quot;??_-;_-@_-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i/>
      <sz val="10"/>
      <name val="Arial"/>
      <family val="2"/>
    </font>
    <font>
      <b/>
      <sz val="9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i/>
      <sz val="12"/>
      <color indexed="8"/>
      <name val="Arial"/>
      <family val="2"/>
    </font>
    <font>
      <b/>
      <i/>
      <u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18"/>
      <name val="Arial"/>
      <family val="2"/>
    </font>
    <font>
      <u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 Narrow"/>
      <family val="2"/>
    </font>
    <font>
      <sz val="11"/>
      <color rgb="FF00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i/>
      <sz val="7"/>
      <color rgb="FF000000"/>
      <name val="Arial"/>
      <family val="2"/>
    </font>
    <font>
      <i/>
      <sz val="6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70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4" borderId="0" applyNumberFormat="0" applyBorder="0" applyAlignment="0" applyProtection="0"/>
    <xf numFmtId="0" fontId="32" fillId="16" borderId="1" applyNumberFormat="0" applyAlignment="0" applyProtection="0"/>
    <xf numFmtId="0" fontId="33" fillId="17" borderId="2" applyNumberFormat="0" applyAlignment="0" applyProtection="0"/>
    <xf numFmtId="0" fontId="34" fillId="0" borderId="3" applyNumberFormat="0" applyFill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35" fillId="7" borderId="1" applyNumberFormat="0" applyAlignment="0" applyProtection="0"/>
    <xf numFmtId="0" fontId="36" fillId="3" borderId="0" applyNumberFormat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7" fillId="22" borderId="0" applyNumberFormat="0" applyBorder="0" applyAlignment="0" applyProtection="0"/>
    <xf numFmtId="0" fontId="6" fillId="0" borderId="0"/>
    <xf numFmtId="0" fontId="6" fillId="0" borderId="0"/>
    <xf numFmtId="0" fontId="6" fillId="23" borderId="4" applyNumberFormat="0" applyFont="0" applyAlignment="0" applyProtection="0"/>
    <xf numFmtId="9" fontId="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8" fillId="16" borderId="5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5" fillId="0" borderId="9" applyNumberFormat="0" applyFill="0" applyAlignment="0" applyProtection="0"/>
    <xf numFmtId="165" fontId="4" fillId="0" borderId="0" applyFont="0" applyFill="0" applyBorder="0" applyAlignment="0" applyProtection="0"/>
    <xf numFmtId="165" fontId="46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23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237">
    <xf numFmtId="0" fontId="0" fillId="0" borderId="0" xfId="0"/>
    <xf numFmtId="0" fontId="9" fillId="0" borderId="0" xfId="0" applyFont="1" applyAlignment="1">
      <alignment horizontal="justify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justify" vertical="center" wrapText="1"/>
    </xf>
    <xf numFmtId="164" fontId="15" fillId="0" borderId="10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67" fontId="47" fillId="0" borderId="0" xfId="3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0" xfId="0" applyFont="1"/>
    <xf numFmtId="0" fontId="48" fillId="26" borderId="25" xfId="0" applyFont="1" applyFill="1" applyBorder="1" applyAlignment="1">
      <alignment horizontal="center" vertical="center" wrapText="1"/>
    </xf>
    <xf numFmtId="0" fontId="49" fillId="0" borderId="23" xfId="0" applyFont="1" applyBorder="1" applyAlignment="1">
      <alignment vertical="center" wrapText="1"/>
    </xf>
    <xf numFmtId="166" fontId="0" fillId="0" borderId="0" xfId="0" applyNumberFormat="1" applyAlignment="1">
      <alignment horizontal="left" wrapText="1"/>
    </xf>
    <xf numFmtId="0" fontId="50" fillId="27" borderId="23" xfId="0" applyFont="1" applyFill="1" applyBorder="1" applyAlignment="1">
      <alignment horizontal="right" vertical="center" wrapText="1"/>
    </xf>
    <xf numFmtId="0" fontId="49" fillId="0" borderId="22" xfId="0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10" fontId="49" fillId="0" borderId="22" xfId="0" applyNumberFormat="1" applyFont="1" applyBorder="1" applyAlignment="1">
      <alignment horizontal="center" vertical="center" wrapText="1"/>
    </xf>
    <xf numFmtId="10" fontId="49" fillId="0" borderId="23" xfId="0" applyNumberFormat="1" applyFont="1" applyBorder="1" applyAlignment="1">
      <alignment horizontal="center" vertical="center" wrapText="1"/>
    </xf>
    <xf numFmtId="10" fontId="0" fillId="0" borderId="0" xfId="39" applyNumberFormat="1" applyFont="1"/>
    <xf numFmtId="0" fontId="48" fillId="27" borderId="23" xfId="0" applyFont="1" applyFill="1" applyBorder="1" applyAlignment="1">
      <alignment horizontal="right" vertical="center" wrapText="1"/>
    </xf>
    <xf numFmtId="0" fontId="49" fillId="0" borderId="26" xfId="0" applyFont="1" applyBorder="1" applyAlignment="1">
      <alignment horizontal="left" vertical="center"/>
    </xf>
    <xf numFmtId="43" fontId="0" fillId="0" borderId="0" xfId="0" applyNumberFormat="1"/>
    <xf numFmtId="0" fontId="6" fillId="0" borderId="10" xfId="0" applyFont="1" applyBorder="1" applyAlignment="1">
      <alignment horizontal="left" vertical="center" wrapText="1"/>
    </xf>
    <xf numFmtId="10" fontId="49" fillId="0" borderId="25" xfId="0" applyNumberFormat="1" applyFont="1" applyBorder="1" applyAlignment="1">
      <alignment horizontal="center" vertical="center" wrapText="1"/>
    </xf>
    <xf numFmtId="10" fontId="48" fillId="27" borderId="22" xfId="0" applyNumberFormat="1" applyFont="1" applyFill="1" applyBorder="1" applyAlignment="1">
      <alignment horizontal="center" vertical="center" wrapText="1"/>
    </xf>
    <xf numFmtId="10" fontId="48" fillId="27" borderId="25" xfId="0" applyNumberFormat="1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center" vertical="center" wrapText="1"/>
    </xf>
    <xf numFmtId="0" fontId="13" fillId="25" borderId="10" xfId="0" applyFont="1" applyFill="1" applyBorder="1" applyAlignment="1">
      <alignment horizontal="center" vertical="center"/>
    </xf>
    <xf numFmtId="10" fontId="11" fillId="0" borderId="10" xfId="3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0" fontId="4" fillId="0" borderId="10" xfId="39" applyNumberFormat="1" applyFont="1" applyFill="1" applyBorder="1" applyAlignment="1">
      <alignment horizontal="center" vertical="center"/>
    </xf>
    <xf numFmtId="10" fontId="4" fillId="0" borderId="10" xfId="0" applyNumberFormat="1" applyFont="1" applyBorder="1" applyAlignment="1">
      <alignment horizontal="center" vertical="center"/>
    </xf>
    <xf numFmtId="10" fontId="13" fillId="0" borderId="10" xfId="0" applyNumberFormat="1" applyFont="1" applyBorder="1" applyAlignment="1">
      <alignment horizontal="center" vertical="center"/>
    </xf>
    <xf numFmtId="10" fontId="49" fillId="0" borderId="10" xfId="39" applyNumberFormat="1" applyFont="1" applyFill="1" applyBorder="1" applyAlignment="1">
      <alignment horizontal="center" vertical="center"/>
    </xf>
    <xf numFmtId="164" fontId="4" fillId="0" borderId="10" xfId="31" applyFont="1" applyFill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25" borderId="10" xfId="0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10" fillId="0" borderId="10" xfId="0" applyFont="1" applyBorder="1" applyAlignment="1">
      <alignment horizontal="justify" vertical="center" wrapText="1"/>
    </xf>
    <xf numFmtId="164" fontId="10" fillId="0" borderId="10" xfId="31" applyFont="1" applyFill="1" applyBorder="1" applyAlignment="1">
      <alignment horizontal="center" vertical="center" wrapText="1"/>
    </xf>
    <xf numFmtId="164" fontId="6" fillId="0" borderId="10" xfId="3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10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center" vertical="center" wrapText="1"/>
    </xf>
    <xf numFmtId="164" fontId="14" fillId="0" borderId="10" xfId="31" applyFont="1" applyFill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6" fillId="0" borderId="10" xfId="0" applyFont="1" applyBorder="1" applyAlignment="1">
      <alignment vertical="center"/>
    </xf>
    <xf numFmtId="164" fontId="6" fillId="0" borderId="10" xfId="0" applyNumberFormat="1" applyFont="1" applyBorder="1" applyAlignment="1">
      <alignment horizontal="left" vertical="center" wrapText="1"/>
    </xf>
    <xf numFmtId="0" fontId="28" fillId="0" borderId="0" xfId="0" applyFont="1" applyAlignment="1">
      <alignment vertical="center"/>
    </xf>
    <xf numFmtId="0" fontId="13" fillId="0" borderId="10" xfId="0" applyFont="1" applyBorder="1" applyAlignment="1">
      <alignment vertical="center"/>
    </xf>
    <xf numFmtId="164" fontId="13" fillId="0" borderId="10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10" fontId="6" fillId="0" borderId="0" xfId="39" applyNumberFormat="1" applyFont="1" applyAlignment="1">
      <alignment vertical="center"/>
    </xf>
    <xf numFmtId="10" fontId="27" fillId="0" borderId="10" xfId="39" applyNumberFormat="1" applyFont="1" applyFill="1" applyBorder="1" applyAlignment="1">
      <alignment horizontal="center" vertical="center" wrapText="1"/>
    </xf>
    <xf numFmtId="164" fontId="13" fillId="0" borderId="10" xfId="3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8" fillId="25" borderId="10" xfId="0" applyFont="1" applyFill="1" applyBorder="1" applyAlignment="1">
      <alignment horizontal="justify" vertical="center" wrapText="1"/>
    </xf>
    <xf numFmtId="0" fontId="10" fillId="25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10" fontId="10" fillId="0" borderId="10" xfId="0" applyNumberFormat="1" applyFont="1" applyBorder="1" applyAlignment="1">
      <alignment horizontal="center" vertical="center" wrapText="1"/>
    </xf>
    <xf numFmtId="164" fontId="13" fillId="0" borderId="10" xfId="31" applyFont="1" applyFill="1" applyBorder="1" applyAlignment="1">
      <alignment vertical="center"/>
    </xf>
    <xf numFmtId="10" fontId="13" fillId="0" borderId="10" xfId="0" applyNumberFormat="1" applyFont="1" applyBorder="1" applyAlignment="1">
      <alignment horizontal="center" vertical="center" wrapText="1"/>
    </xf>
    <xf numFmtId="164" fontId="6" fillId="0" borderId="10" xfId="31" applyFont="1" applyFill="1" applyBorder="1" applyAlignment="1">
      <alignment vertical="center"/>
    </xf>
    <xf numFmtId="165" fontId="6" fillId="0" borderId="0" xfId="52" applyFont="1" applyAlignment="1">
      <alignment vertical="center"/>
    </xf>
    <xf numFmtId="10" fontId="8" fillId="0" borderId="10" xfId="0" applyNumberFormat="1" applyFont="1" applyBorder="1" applyAlignment="1">
      <alignment horizontal="center" vertical="center" wrapText="1"/>
    </xf>
    <xf numFmtId="0" fontId="13" fillId="25" borderId="10" xfId="0" applyFont="1" applyFill="1" applyBorder="1" applyAlignment="1">
      <alignment vertical="center"/>
    </xf>
    <xf numFmtId="10" fontId="6" fillId="0" borderId="1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justify" vertical="center" wrapText="1"/>
    </xf>
    <xf numFmtId="10" fontId="6" fillId="0" borderId="0" xfId="0" applyNumberFormat="1" applyFont="1" applyAlignment="1">
      <alignment horizontal="center" vertical="center"/>
    </xf>
    <xf numFmtId="164" fontId="13" fillId="0" borderId="0" xfId="31" applyFont="1" applyFill="1" applyBorder="1" applyAlignment="1">
      <alignment horizontal="left" vertical="center" wrapText="1"/>
    </xf>
    <xf numFmtId="10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left" vertical="center" wrapText="1"/>
    </xf>
    <xf numFmtId="10" fontId="8" fillId="25" borderId="10" xfId="39" applyNumberFormat="1" applyFont="1" applyFill="1" applyBorder="1" applyAlignment="1">
      <alignment horizontal="center" vertical="center" wrapText="1"/>
    </xf>
    <xf numFmtId="164" fontId="13" fillId="25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0" xfId="0" applyFont="1" applyBorder="1" applyAlignment="1">
      <alignment vertical="center" wrapText="1"/>
    </xf>
    <xf numFmtId="164" fontId="15" fillId="0" borderId="10" xfId="0" applyNumberFormat="1" applyFont="1" applyBorder="1" applyAlignment="1">
      <alignment horizontal="center" vertical="center" wrapText="1"/>
    </xf>
    <xf numFmtId="10" fontId="10" fillId="0" borderId="10" xfId="39" applyNumberFormat="1" applyFont="1" applyFill="1" applyBorder="1" applyAlignment="1">
      <alignment horizontal="center" vertical="center" wrapText="1"/>
    </xf>
    <xf numFmtId="43" fontId="6" fillId="0" borderId="0" xfId="0" applyNumberFormat="1" applyFont="1" applyAlignment="1">
      <alignment vertical="center"/>
    </xf>
    <xf numFmtId="10" fontId="8" fillId="0" borderId="10" xfId="39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13" fillId="25" borderId="10" xfId="0" applyFont="1" applyFill="1" applyBorder="1" applyAlignment="1">
      <alignment horizontal="justify" vertical="center" wrapText="1"/>
    </xf>
    <xf numFmtId="0" fontId="6" fillId="25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vertical="center"/>
    </xf>
    <xf numFmtId="164" fontId="13" fillId="0" borderId="10" xfId="0" applyNumberFormat="1" applyFont="1" applyBorder="1" applyAlignment="1">
      <alignment vertical="center"/>
    </xf>
    <xf numFmtId="0" fontId="17" fillId="24" borderId="10" xfId="0" applyFont="1" applyFill="1" applyBorder="1" applyAlignment="1">
      <alignment vertical="center" wrapText="1"/>
    </xf>
    <xf numFmtId="164" fontId="17" fillId="24" borderId="10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10" fontId="8" fillId="0" borderId="0" xfId="39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0" fontId="4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justify" vertical="center" wrapText="1"/>
    </xf>
    <xf numFmtId="0" fontId="19" fillId="0" borderId="0" xfId="0" applyFont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0" fontId="52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horizontal="center"/>
    </xf>
    <xf numFmtId="164" fontId="49" fillId="0" borderId="10" xfId="31" applyFont="1" applyFill="1" applyBorder="1" applyAlignment="1">
      <alignment horizontal="center" vertical="center" wrapText="1"/>
    </xf>
    <xf numFmtId="167" fontId="47" fillId="0" borderId="32" xfId="31" applyNumberFormat="1" applyFont="1" applyFill="1" applyBorder="1" applyAlignment="1">
      <alignment horizontal="center" vertical="center" wrapText="1"/>
    </xf>
    <xf numFmtId="167" fontId="4" fillId="0" borderId="29" xfId="34" applyNumberFormat="1" applyFont="1" applyFill="1" applyBorder="1" applyAlignment="1">
      <alignment horizontal="center" vertical="center" wrapText="1"/>
    </xf>
    <xf numFmtId="164" fontId="51" fillId="0" borderId="0" xfId="0" applyNumberFormat="1" applyFont="1" applyAlignment="1">
      <alignment vertical="center"/>
    </xf>
    <xf numFmtId="0" fontId="4" fillId="0" borderId="10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10" fontId="21" fillId="0" borderId="0" xfId="0" applyNumberFormat="1" applyFont="1" applyAlignment="1">
      <alignment vertical="center"/>
    </xf>
    <xf numFmtId="0" fontId="4" fillId="28" borderId="10" xfId="0" applyFont="1" applyFill="1" applyBorder="1" applyAlignment="1">
      <alignment horizontal="left" vertical="center" wrapText="1"/>
    </xf>
    <xf numFmtId="166" fontId="0" fillId="0" borderId="0" xfId="39" applyNumberFormat="1" applyFont="1" applyFill="1"/>
    <xf numFmtId="0" fontId="52" fillId="0" borderId="0" xfId="0" applyFont="1"/>
    <xf numFmtId="167" fontId="47" fillId="0" borderId="35" xfId="0" applyNumberFormat="1" applyFont="1" applyBorder="1" applyAlignment="1">
      <alignment horizontal="center" vertical="center" wrapText="1"/>
    </xf>
    <xf numFmtId="164" fontId="49" fillId="0" borderId="27" xfId="3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5" fillId="0" borderId="0" xfId="0" applyFont="1" applyAlignment="1">
      <alignment vertical="center"/>
    </xf>
    <xf numFmtId="167" fontId="4" fillId="0" borderId="24" xfId="34" applyNumberFormat="1" applyFont="1" applyFill="1" applyBorder="1" applyAlignment="1">
      <alignment horizontal="center" vertical="center" wrapText="1"/>
    </xf>
    <xf numFmtId="0" fontId="13" fillId="29" borderId="30" xfId="0" applyFont="1" applyFill="1" applyBorder="1" applyAlignment="1">
      <alignment horizontal="center" vertical="center" wrapText="1"/>
    </xf>
    <xf numFmtId="0" fontId="13" fillId="29" borderId="31" xfId="0" applyFont="1" applyFill="1" applyBorder="1" applyAlignment="1">
      <alignment horizontal="center" vertical="center" wrapText="1"/>
    </xf>
    <xf numFmtId="0" fontId="13" fillId="29" borderId="32" xfId="0" applyFont="1" applyFill="1" applyBorder="1" applyAlignment="1">
      <alignment horizontal="center" vertical="center" wrapText="1"/>
    </xf>
    <xf numFmtId="0" fontId="56" fillId="0" borderId="37" xfId="0" applyFont="1" applyBorder="1" applyAlignment="1">
      <alignment horizontal="center" vertical="center" wrapText="1"/>
    </xf>
    <xf numFmtId="0" fontId="56" fillId="0" borderId="36" xfId="0" applyFont="1" applyBorder="1" applyAlignment="1">
      <alignment horizontal="left" vertical="center" wrapText="1"/>
    </xf>
    <xf numFmtId="0" fontId="56" fillId="0" borderId="36" xfId="0" applyFont="1" applyBorder="1" applyAlignment="1">
      <alignment horizontal="center" vertical="center" wrapText="1"/>
    </xf>
    <xf numFmtId="0" fontId="56" fillId="0" borderId="38" xfId="0" applyFont="1" applyBorder="1" applyAlignment="1">
      <alignment horizontal="center" vertical="center" wrapText="1"/>
    </xf>
    <xf numFmtId="0" fontId="56" fillId="0" borderId="39" xfId="0" applyFont="1" applyBorder="1" applyAlignment="1">
      <alignment horizontal="left" vertical="center" wrapText="1"/>
    </xf>
    <xf numFmtId="0" fontId="56" fillId="0" borderId="39" xfId="0" applyFont="1" applyBorder="1" applyAlignment="1">
      <alignment horizontal="center" vertical="center" wrapText="1"/>
    </xf>
    <xf numFmtId="0" fontId="12" fillId="30" borderId="13" xfId="0" applyFont="1" applyFill="1" applyBorder="1" applyAlignment="1">
      <alignment vertical="center"/>
    </xf>
    <xf numFmtId="0" fontId="57" fillId="30" borderId="11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horizontal="center"/>
    </xf>
    <xf numFmtId="164" fontId="57" fillId="0" borderId="10" xfId="31" applyFont="1" applyBorder="1"/>
    <xf numFmtId="1" fontId="58" fillId="0" borderId="10" xfId="0" applyNumberFormat="1" applyFont="1" applyBorder="1" applyAlignment="1">
      <alignment horizontal="center"/>
    </xf>
    <xf numFmtId="164" fontId="12" fillId="0" borderId="10" xfId="0" applyNumberFormat="1" applyFont="1" applyBorder="1"/>
    <xf numFmtId="0" fontId="25" fillId="0" borderId="10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 wrapText="1"/>
    </xf>
    <xf numFmtId="1" fontId="12" fillId="0" borderId="14" xfId="0" applyNumberFormat="1" applyFont="1" applyBorder="1" applyAlignment="1">
      <alignment horizontal="center"/>
    </xf>
    <xf numFmtId="164" fontId="12" fillId="30" borderId="25" xfId="31" applyFont="1" applyFill="1" applyBorder="1" applyAlignment="1">
      <alignment horizontal="center" vertical="center"/>
    </xf>
    <xf numFmtId="43" fontId="12" fillId="30" borderId="25" xfId="0" applyNumberFormat="1" applyFont="1" applyFill="1" applyBorder="1" applyAlignment="1">
      <alignment vertical="center"/>
    </xf>
    <xf numFmtId="10" fontId="10" fillId="25" borderId="10" xfId="39" applyNumberFormat="1" applyFont="1" applyFill="1" applyBorder="1" applyAlignment="1">
      <alignment horizontal="center" vertical="center" wrapText="1"/>
    </xf>
    <xf numFmtId="10" fontId="49" fillId="25" borderId="10" xfId="39" applyNumberFormat="1" applyFont="1" applyFill="1" applyBorder="1" applyAlignment="1">
      <alignment horizontal="center" vertical="center" wrapText="1"/>
    </xf>
    <xf numFmtId="10" fontId="6" fillId="25" borderId="10" xfId="39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57" fillId="0" borderId="10" xfId="31" quotePrefix="1" applyFont="1" applyBorder="1"/>
    <xf numFmtId="164" fontId="13" fillId="28" borderId="10" xfId="31" applyFont="1" applyFill="1" applyBorder="1" applyAlignment="1">
      <alignment horizontal="left" vertical="center" wrapText="1"/>
    </xf>
    <xf numFmtId="164" fontId="4" fillId="28" borderId="10" xfId="31" applyFont="1" applyFill="1" applyBorder="1" applyAlignment="1">
      <alignment horizontal="left" vertical="center" wrapText="1"/>
    </xf>
    <xf numFmtId="4" fontId="13" fillId="25" borderId="10" xfId="0" applyNumberFormat="1" applyFont="1" applyFill="1" applyBorder="1" applyAlignment="1">
      <alignment horizontal="center" vertical="center"/>
    </xf>
    <xf numFmtId="9" fontId="10" fillId="0" borderId="10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/>
    </xf>
    <xf numFmtId="0" fontId="57" fillId="0" borderId="10" xfId="0" applyFont="1" applyBorder="1" applyAlignment="1">
      <alignment wrapText="1"/>
    </xf>
    <xf numFmtId="0" fontId="12" fillId="30" borderId="13" xfId="0" applyFont="1" applyFill="1" applyBorder="1" applyAlignment="1">
      <alignment horizontal="left" vertical="center"/>
    </xf>
    <xf numFmtId="0" fontId="12" fillId="30" borderId="11" xfId="0" applyFont="1" applyFill="1" applyBorder="1" applyAlignment="1">
      <alignment horizontal="left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25" borderId="13" xfId="0" applyFont="1" applyFill="1" applyBorder="1" applyAlignment="1">
      <alignment horizontal="center" vertical="center" wrapText="1"/>
    </xf>
    <xf numFmtId="0" fontId="12" fillId="25" borderId="11" xfId="0" applyFont="1" applyFill="1" applyBorder="1" applyAlignment="1">
      <alignment horizontal="center" vertical="center" wrapText="1"/>
    </xf>
    <xf numFmtId="0" fontId="12" fillId="25" borderId="12" xfId="0" applyFont="1" applyFill="1" applyBorder="1" applyAlignment="1">
      <alignment horizontal="center" vertical="center" wrapText="1"/>
    </xf>
    <xf numFmtId="0" fontId="13" fillId="25" borderId="19" xfId="0" applyFont="1" applyFill="1" applyBorder="1" applyAlignment="1">
      <alignment horizontal="center" wrapText="1"/>
    </xf>
    <xf numFmtId="0" fontId="12" fillId="25" borderId="0" xfId="0" applyFont="1" applyFill="1" applyAlignment="1">
      <alignment horizontal="center" wrapText="1"/>
    </xf>
    <xf numFmtId="0" fontId="12" fillId="25" borderId="20" xfId="0" applyFont="1" applyFill="1" applyBorder="1" applyAlignment="1">
      <alignment horizontal="center" wrapText="1"/>
    </xf>
    <xf numFmtId="0" fontId="12" fillId="25" borderId="21" xfId="0" applyFont="1" applyFill="1" applyBorder="1" applyAlignment="1">
      <alignment horizontal="center" wrapText="1"/>
    </xf>
    <xf numFmtId="0" fontId="12" fillId="25" borderId="16" xfId="0" applyFont="1" applyFill="1" applyBorder="1" applyAlignment="1">
      <alignment horizontal="center" wrapText="1"/>
    </xf>
    <xf numFmtId="0" fontId="12" fillId="25" borderId="22" xfId="0" applyFont="1" applyFill="1" applyBorder="1" applyAlignment="1">
      <alignment horizontal="center" wrapText="1"/>
    </xf>
    <xf numFmtId="0" fontId="11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12" fillId="3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164" fontId="15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4" fillId="0" borderId="17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0" fontId="50" fillId="27" borderId="13" xfId="0" applyNumberFormat="1" applyFont="1" applyFill="1" applyBorder="1" applyAlignment="1">
      <alignment horizontal="center" vertical="center" wrapText="1"/>
    </xf>
    <xf numFmtId="10" fontId="50" fillId="27" borderId="12" xfId="0" applyNumberFormat="1" applyFont="1" applyFill="1" applyBorder="1" applyAlignment="1">
      <alignment horizontal="center" vertical="center" wrapText="1"/>
    </xf>
    <xf numFmtId="10" fontId="49" fillId="0" borderId="13" xfId="0" applyNumberFormat="1" applyFont="1" applyBorder="1" applyAlignment="1">
      <alignment horizontal="center" vertical="center" wrapText="1"/>
    </xf>
    <xf numFmtId="10" fontId="49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8" fillId="26" borderId="13" xfId="0" applyFont="1" applyFill="1" applyBorder="1" applyAlignment="1">
      <alignment horizontal="center" vertical="center" wrapText="1"/>
    </xf>
    <xf numFmtId="0" fontId="48" fillId="26" borderId="12" xfId="0" applyFont="1" applyFill="1" applyBorder="1" applyAlignment="1">
      <alignment horizontal="center" vertical="center" wrapText="1"/>
    </xf>
  </cellXfs>
  <cellStyles count="70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" xfId="31" builtinId="4"/>
    <cellStyle name="Moeda 13" xfId="32" xr:uid="{00000000-0005-0000-0000-00001F000000}"/>
    <cellStyle name="Moeda 13 2" xfId="55" xr:uid="{00000000-0005-0000-0000-000020000000}"/>
    <cellStyle name="Moeda 2" xfId="33" xr:uid="{00000000-0005-0000-0000-000021000000}"/>
    <cellStyle name="Moeda 2 2" xfId="56" xr:uid="{00000000-0005-0000-0000-000022000000}"/>
    <cellStyle name="Moeda 3" xfId="34" xr:uid="{00000000-0005-0000-0000-000023000000}"/>
    <cellStyle name="Moeda 3 2" xfId="57" xr:uid="{00000000-0005-0000-0000-000024000000}"/>
    <cellStyle name="Neutra 2" xfId="35" xr:uid="{00000000-0005-0000-0000-000025000000}"/>
    <cellStyle name="Normal" xfId="0" builtinId="0"/>
    <cellStyle name="Normal 2" xfId="36" xr:uid="{00000000-0005-0000-0000-000027000000}"/>
    <cellStyle name="Normal 2 2" xfId="37" xr:uid="{00000000-0005-0000-0000-000028000000}"/>
    <cellStyle name="Normal 2 2 2" xfId="59" xr:uid="{00000000-0005-0000-0000-000029000000}"/>
    <cellStyle name="Normal 2 3" xfId="58" xr:uid="{00000000-0005-0000-0000-00002A000000}"/>
    <cellStyle name="Normal 3" xfId="54" xr:uid="{00000000-0005-0000-0000-00002B000000}"/>
    <cellStyle name="Normal 3 2" xfId="65" xr:uid="{00000000-0005-0000-0000-00002C000000}"/>
    <cellStyle name="Normal 3 2 2" xfId="69" xr:uid="{00000000-0005-0000-0000-00002D000000}"/>
    <cellStyle name="Normal 3 3" xfId="66" xr:uid="{00000000-0005-0000-0000-00002E000000}"/>
    <cellStyle name="Nota 2" xfId="38" xr:uid="{00000000-0005-0000-0000-00002F000000}"/>
    <cellStyle name="Nota 2 2" xfId="60" xr:uid="{00000000-0005-0000-0000-000030000000}"/>
    <cellStyle name="Porcentagem" xfId="39" builtinId="5"/>
    <cellStyle name="Porcentagem 2" xfId="40" xr:uid="{00000000-0005-0000-0000-000032000000}"/>
    <cellStyle name="Porcentagem 2 2" xfId="61" xr:uid="{00000000-0005-0000-0000-000033000000}"/>
    <cellStyle name="Porcentagem 2 7" xfId="41" xr:uid="{00000000-0005-0000-0000-000034000000}"/>
    <cellStyle name="Porcentagem 9 6" xfId="42" xr:uid="{00000000-0005-0000-0000-000035000000}"/>
    <cellStyle name="Porcentagem 9 6 2" xfId="62" xr:uid="{00000000-0005-0000-0000-000036000000}"/>
    <cellStyle name="Saída 2" xfId="43" xr:uid="{00000000-0005-0000-0000-000037000000}"/>
    <cellStyle name="Texto de Aviso 2" xfId="44" xr:uid="{00000000-0005-0000-0000-000038000000}"/>
    <cellStyle name="Texto Explicativo 2" xfId="45" xr:uid="{00000000-0005-0000-0000-000039000000}"/>
    <cellStyle name="Título 1 2" xfId="46" xr:uid="{00000000-0005-0000-0000-00003A000000}"/>
    <cellStyle name="Título 2 2" xfId="47" xr:uid="{00000000-0005-0000-0000-00003B000000}"/>
    <cellStyle name="Título 3 2" xfId="48" xr:uid="{00000000-0005-0000-0000-00003C000000}"/>
    <cellStyle name="Título 4 2" xfId="49" xr:uid="{00000000-0005-0000-0000-00003D000000}"/>
    <cellStyle name="Título 5" xfId="50" xr:uid="{00000000-0005-0000-0000-00003E000000}"/>
    <cellStyle name="Total 2" xfId="51" xr:uid="{00000000-0005-0000-0000-00003F000000}"/>
    <cellStyle name="Vírgula" xfId="52" builtinId="3"/>
    <cellStyle name="Vírgula 2" xfId="53" xr:uid="{00000000-0005-0000-0000-000041000000}"/>
    <cellStyle name="Vírgula 2 2" xfId="64" xr:uid="{00000000-0005-0000-0000-000042000000}"/>
    <cellStyle name="Vírgula 2 2 2" xfId="68" xr:uid="{00000000-0005-0000-0000-000043000000}"/>
    <cellStyle name="Vírgula 3" xfId="63" xr:uid="{00000000-0005-0000-0000-000044000000}"/>
    <cellStyle name="Vírgula 3 2" xfId="67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EG&#213;ES\2018\VIGIL&#194;NCIA\Regional__IV_VIII%20-%20PE%2088_2018%20(Jo&#227;o%20Orlando)\Planilha%20Regi&#227;o%20IV%20-%20vers&#227;o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NTRATOS%20VIGIL&#194;NCIA\Vig%20Capital%202&#186;%20Grau_Secretaria%20-%20EQUIP%20SEG\PLANILHAS%20DE%20CUSTOS\03.%20Planilha%20Repact%20CCT%202017%20-%20SEM%20A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roposta Comercial"/>
      <sheetName val="12x36 D"/>
      <sheetName val="12x36 N"/>
      <sheetName val="44h desarm"/>
      <sheetName val="Uniformes"/>
      <sheetName val="Equipamentos"/>
      <sheetName val="CTG"/>
      <sheetName val="ISS e VT"/>
    </sheetNames>
    <sheetDataSet>
      <sheetData sheetId="0"/>
      <sheetData sheetId="1"/>
      <sheetData sheetId="2"/>
      <sheetData sheetId="3"/>
      <sheetData sheetId="4"/>
      <sheetData sheetId="5">
        <row r="14">
          <cell r="H14">
            <v>105.18499999999999</v>
          </cell>
        </row>
        <row r="26">
          <cell r="H26">
            <v>79.184999999999988</v>
          </cell>
        </row>
      </sheetData>
      <sheetData sheetId="6">
        <row r="15">
          <cell r="N15">
            <v>6.8306591216216219</v>
          </cell>
        </row>
        <row r="27">
          <cell r="N27">
            <v>32.040531250000008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Proposta Com."/>
      <sheetName val="Valor mensal por posto"/>
      <sheetName val="QUADRO RESUMO"/>
      <sheetName val="RESUMO"/>
      <sheetName val="Uniformes"/>
      <sheetName val="Mat Uso Comum "/>
      <sheetName val="Equipamentos"/>
      <sheetName val="12x36 D"/>
      <sheetName val="12x36 N"/>
      <sheetName val="12x36 N (des)"/>
      <sheetName val="44horas"/>
      <sheetName val="Seg.Bombeiro"/>
      <sheetName val="Agente Seg"/>
      <sheetName val="Supervisor"/>
      <sheetName val="PROPOSTA COMERCIAL"/>
      <sheetName val="Resumo_Proposta_Com_"/>
      <sheetName val="Valor_mensal_por_posto"/>
      <sheetName val="QUADRO_RESUMO"/>
      <sheetName val="Mat_Uso_Comum_"/>
      <sheetName val="12x36_D"/>
      <sheetName val="12x36_N"/>
      <sheetName val="12x36_N_(des)"/>
      <sheetName val="Seg_Bombeiro"/>
      <sheetName val="Agente_Seg"/>
      <sheetName val="PROPOSTA_COMERCIAL"/>
    </sheetNames>
    <sheetDataSet>
      <sheetData sheetId="0"/>
      <sheetData sheetId="1"/>
      <sheetData sheetId="2"/>
      <sheetData sheetId="3"/>
      <sheetData sheetId="4"/>
      <sheetData sheetId="5">
        <row r="10">
          <cell r="G10">
            <v>4.1111111111111107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5"/>
  <sheetViews>
    <sheetView tabSelected="1" workbookViewId="0">
      <selection activeCell="F11" sqref="F11"/>
    </sheetView>
  </sheetViews>
  <sheetFormatPr defaultRowHeight="13.2"/>
  <cols>
    <col min="1" max="1" width="2.6640625" customWidth="1"/>
    <col min="2" max="2" width="5.6640625" customWidth="1"/>
    <col min="3" max="3" width="34.44140625" customWidth="1"/>
    <col min="4" max="4" width="18.6640625" customWidth="1"/>
    <col min="5" max="5" width="15.33203125" customWidth="1"/>
    <col min="6" max="6" width="17.109375" bestFit="1" customWidth="1"/>
    <col min="7" max="7" width="19.88671875" bestFit="1" customWidth="1"/>
    <col min="9" max="9" width="12.88671875" bestFit="1" customWidth="1"/>
  </cols>
  <sheetData>
    <row r="1" spans="2:9" ht="13.8" thickBot="1"/>
    <row r="2" spans="2:9" ht="21.75" customHeight="1">
      <c r="B2" s="180" t="s">
        <v>104</v>
      </c>
      <c r="C2" s="181"/>
      <c r="D2" s="181"/>
      <c r="E2" s="181"/>
      <c r="F2" s="181"/>
      <c r="G2" s="182"/>
    </row>
    <row r="3" spans="2:9" ht="21" customHeight="1" thickBot="1">
      <c r="B3" s="183" t="s">
        <v>116</v>
      </c>
      <c r="C3" s="184"/>
      <c r="D3" s="184"/>
      <c r="E3" s="184"/>
      <c r="F3" s="184"/>
      <c r="G3" s="185"/>
    </row>
    <row r="4" spans="2:9" ht="5.25" customHeight="1" thickBot="1">
      <c r="B4" s="151"/>
      <c r="C4" s="151"/>
      <c r="D4" s="151"/>
      <c r="E4" s="151"/>
      <c r="F4" s="151"/>
      <c r="G4" s="151"/>
    </row>
    <row r="5" spans="2:9" ht="24" customHeight="1" thickBot="1">
      <c r="B5" s="186" t="s">
        <v>118</v>
      </c>
      <c r="C5" s="187"/>
      <c r="D5" s="187"/>
      <c r="E5" s="187"/>
      <c r="F5" s="187"/>
      <c r="G5" s="188"/>
    </row>
    <row r="6" spans="2:9" ht="21.75" customHeight="1">
      <c r="B6" s="189"/>
      <c r="C6" s="190"/>
      <c r="D6" s="190"/>
      <c r="E6" s="190"/>
      <c r="F6" s="190"/>
      <c r="G6" s="191"/>
    </row>
    <row r="7" spans="2:9" ht="24.75" customHeight="1" thickBot="1">
      <c r="B7" s="192" t="s">
        <v>136</v>
      </c>
      <c r="C7" s="193"/>
      <c r="D7" s="193"/>
      <c r="E7" s="193"/>
      <c r="F7" s="193"/>
      <c r="G7" s="194"/>
    </row>
    <row r="8" spans="2:9" ht="13.5" customHeight="1">
      <c r="B8" s="152"/>
      <c r="C8" s="152"/>
      <c r="D8" s="152"/>
      <c r="E8" s="152"/>
      <c r="F8" s="152"/>
      <c r="G8" s="152"/>
    </row>
    <row r="9" spans="2:9" ht="21.75" customHeight="1">
      <c r="B9" s="175" t="s">
        <v>33</v>
      </c>
      <c r="C9" s="176"/>
      <c r="D9" s="150" t="s">
        <v>109</v>
      </c>
      <c r="E9" s="150" t="s">
        <v>108</v>
      </c>
      <c r="F9" s="150" t="s">
        <v>103</v>
      </c>
      <c r="G9" s="150" t="s">
        <v>105</v>
      </c>
    </row>
    <row r="10" spans="2:9" ht="26.25" customHeight="1">
      <c r="B10" s="153" t="s">
        <v>101</v>
      </c>
      <c r="C10" s="172" t="s">
        <v>139</v>
      </c>
      <c r="D10" s="166">
        <v>4245</v>
      </c>
      <c r="E10" s="155">
        <v>12</v>
      </c>
      <c r="F10" s="155">
        <v>4</v>
      </c>
      <c r="G10" s="154">
        <f>D10*E10*F10</f>
        <v>203760</v>
      </c>
      <c r="I10" s="20"/>
    </row>
    <row r="11" spans="2:9" ht="25.5" customHeight="1">
      <c r="B11" s="177" t="s">
        <v>102</v>
      </c>
      <c r="C11" s="178"/>
      <c r="D11" s="178"/>
      <c r="E11" s="179"/>
      <c r="F11" s="159">
        <v>12</v>
      </c>
      <c r="G11" s="156">
        <f>SUM(G10:G10)</f>
        <v>203760</v>
      </c>
    </row>
    <row r="12" spans="2:9" ht="10.5" customHeight="1">
      <c r="B12" s="152"/>
      <c r="C12" s="152"/>
      <c r="D12" s="152"/>
      <c r="E12" s="152"/>
      <c r="F12" s="152"/>
      <c r="G12" s="152"/>
    </row>
    <row r="13" spans="2:9" ht="7.5" customHeight="1" thickBot="1">
      <c r="B13" s="152"/>
      <c r="C13" s="152"/>
      <c r="D13" s="152"/>
      <c r="E13" s="152"/>
      <c r="F13" s="152"/>
      <c r="G13" s="152"/>
    </row>
    <row r="14" spans="2:9" ht="27" customHeight="1" thickBot="1">
      <c r="B14" s="148" t="s">
        <v>100</v>
      </c>
      <c r="C14" s="149"/>
      <c r="D14" s="149" t="s">
        <v>117</v>
      </c>
      <c r="E14" s="149"/>
      <c r="F14" s="149"/>
      <c r="G14" s="160">
        <f>G11</f>
        <v>203760</v>
      </c>
    </row>
    <row r="15" spans="2:9" ht="10.5" customHeight="1" thickBot="1"/>
    <row r="16" spans="2:9" ht="24" customHeight="1" thickBot="1">
      <c r="B16" s="173" t="s">
        <v>114</v>
      </c>
      <c r="C16" s="174"/>
      <c r="D16" s="174"/>
      <c r="E16" s="174"/>
      <c r="F16" s="174"/>
      <c r="G16" s="161">
        <f>SUM(G14/12)</f>
        <v>16980</v>
      </c>
    </row>
    <row r="17" spans="2:7" ht="13.8" thickBot="1"/>
    <row r="18" spans="2:7" ht="16.2" thickBot="1">
      <c r="B18" s="173" t="s">
        <v>122</v>
      </c>
      <c r="C18" s="174"/>
      <c r="D18" s="174"/>
      <c r="E18" s="174"/>
      <c r="F18" s="174"/>
      <c r="G18" s="161">
        <f>G16*12</f>
        <v>203760</v>
      </c>
    </row>
    <row r="19" spans="2:7">
      <c r="C19" s="115"/>
      <c r="D19" s="115"/>
    </row>
    <row r="20" spans="2:7">
      <c r="C20" s="115"/>
    </row>
    <row r="22" spans="2:7" ht="15.6">
      <c r="D22" s="1"/>
    </row>
    <row r="23" spans="2:7">
      <c r="D23" s="165"/>
    </row>
    <row r="24" spans="2:7">
      <c r="D24" s="165"/>
    </row>
    <row r="25" spans="2:7" ht="15.6">
      <c r="D25" s="1"/>
    </row>
  </sheetData>
  <mergeCells count="9">
    <mergeCell ref="B18:F18"/>
    <mergeCell ref="B16:F16"/>
    <mergeCell ref="B9:C9"/>
    <mergeCell ref="B11:E11"/>
    <mergeCell ref="B2:G2"/>
    <mergeCell ref="B3:G3"/>
    <mergeCell ref="B5:G5"/>
    <mergeCell ref="B6:G6"/>
    <mergeCell ref="B7:G7"/>
  </mergeCells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P147"/>
  <sheetViews>
    <sheetView showGridLines="0" topLeftCell="A109" zoomScaleNormal="100" zoomScaleSheetLayoutView="90" workbookViewId="0">
      <selection activeCell="C120" sqref="C120"/>
    </sheetView>
  </sheetViews>
  <sheetFormatPr defaultColWidth="9.109375" defaultRowHeight="13.2"/>
  <cols>
    <col min="1" max="1" width="69.44140625" style="35" customWidth="1"/>
    <col min="2" max="2" width="15.6640625" style="105" customWidth="1"/>
    <col min="3" max="3" width="32" style="35" customWidth="1"/>
    <col min="4" max="4" width="4.33203125" style="35" customWidth="1"/>
    <col min="5" max="5" width="17.88671875" style="35" customWidth="1"/>
    <col min="6" max="6" width="10.6640625" style="36" customWidth="1"/>
    <col min="7" max="13" width="10.6640625" style="35" customWidth="1"/>
    <col min="14" max="16384" width="9.109375" style="35"/>
  </cols>
  <sheetData>
    <row r="1" spans="1:3" ht="15" customHeight="1">
      <c r="A1" s="196"/>
      <c r="B1" s="196"/>
      <c r="C1" s="196"/>
    </row>
    <row r="2" spans="1:3" ht="20.100000000000001" customHeight="1">
      <c r="A2" s="197" t="s">
        <v>27</v>
      </c>
      <c r="B2" s="197"/>
      <c r="C2" s="197"/>
    </row>
    <row r="3" spans="1:3" ht="7.5" customHeight="1">
      <c r="A3" s="37"/>
      <c r="B3" s="38"/>
      <c r="C3" s="37"/>
    </row>
    <row r="4" spans="1:3" ht="7.5" customHeight="1">
      <c r="A4" s="39"/>
      <c r="B4" s="39"/>
      <c r="C4" s="39"/>
    </row>
    <row r="5" spans="1:3" ht="15" customHeight="1">
      <c r="A5" s="201" t="s">
        <v>131</v>
      </c>
      <c r="B5" s="202"/>
      <c r="C5" s="202"/>
    </row>
    <row r="6" spans="1:3" ht="28.5" customHeight="1">
      <c r="A6" s="198" t="s">
        <v>132</v>
      </c>
      <c r="B6" s="199"/>
      <c r="C6" s="199"/>
    </row>
    <row r="7" spans="1:3" ht="5.25" customHeight="1">
      <c r="A7" s="40"/>
      <c r="B7" s="41"/>
      <c r="C7" s="40"/>
    </row>
    <row r="8" spans="1:3" ht="6" customHeight="1">
      <c r="A8" s="40"/>
      <c r="B8" s="41"/>
      <c r="C8" s="40"/>
    </row>
    <row r="9" spans="1:3" ht="28.5" customHeight="1">
      <c r="A9" s="200" t="s">
        <v>133</v>
      </c>
      <c r="B9" s="200"/>
      <c r="C9" s="200"/>
    </row>
    <row r="10" spans="1:3" ht="9.75" customHeight="1">
      <c r="A10" s="42"/>
      <c r="B10" s="41"/>
      <c r="C10" s="41"/>
    </row>
    <row r="11" spans="1:3" ht="15" customHeight="1">
      <c r="A11" s="43" t="s">
        <v>28</v>
      </c>
      <c r="B11" s="43"/>
      <c r="C11" s="43"/>
    </row>
    <row r="12" spans="1:3" ht="15" customHeight="1">
      <c r="A12" s="43"/>
      <c r="B12" s="43"/>
      <c r="C12" s="43"/>
    </row>
    <row r="13" spans="1:3" ht="15" customHeight="1">
      <c r="A13" s="157" t="s">
        <v>7</v>
      </c>
      <c r="B13" s="195" t="s">
        <v>130</v>
      </c>
      <c r="C13" s="195"/>
    </row>
    <row r="14" spans="1:3" ht="15" customHeight="1">
      <c r="A14" s="157" t="s">
        <v>51</v>
      </c>
      <c r="B14" s="195" t="s">
        <v>129</v>
      </c>
      <c r="C14" s="195"/>
    </row>
    <row r="15" spans="1:3" ht="15" customHeight="1">
      <c r="A15" s="157" t="s">
        <v>52</v>
      </c>
      <c r="B15" s="205" t="s">
        <v>134</v>
      </c>
      <c r="C15" s="206"/>
    </row>
    <row r="16" spans="1:3" ht="15" customHeight="1">
      <c r="A16" s="157" t="s">
        <v>29</v>
      </c>
      <c r="B16" s="207" t="s">
        <v>119</v>
      </c>
      <c r="C16" s="207"/>
    </row>
    <row r="17" spans="1:16" ht="15" customHeight="1">
      <c r="A17" s="157" t="s">
        <v>85</v>
      </c>
      <c r="B17" s="203">
        <v>12</v>
      </c>
      <c r="C17" s="204"/>
    </row>
    <row r="18" spans="1:16" ht="15" customHeight="1">
      <c r="A18" s="44"/>
      <c r="B18" s="45"/>
      <c r="C18" s="45"/>
    </row>
    <row r="19" spans="1:16" ht="15" customHeight="1">
      <c r="A19" s="208" t="s">
        <v>110</v>
      </c>
      <c r="B19" s="208"/>
      <c r="C19" s="208"/>
    </row>
    <row r="20" spans="1:16" ht="15" customHeight="1">
      <c r="A20" s="208"/>
      <c r="B20" s="208"/>
      <c r="C20" s="208"/>
      <c r="P20" s="137"/>
    </row>
    <row r="21" spans="1:16" ht="15" customHeight="1">
      <c r="A21" s="118"/>
      <c r="B21" s="118"/>
      <c r="C21" s="118"/>
    </row>
    <row r="22" spans="1:16" ht="15" customHeight="1">
      <c r="A22" s="41" t="s">
        <v>8</v>
      </c>
      <c r="B22" s="41"/>
      <c r="C22" s="171"/>
    </row>
    <row r="23" spans="1:16" ht="15" customHeight="1">
      <c r="A23" s="46" t="s">
        <v>135</v>
      </c>
      <c r="B23" s="25"/>
      <c r="C23" s="169">
        <v>1541.27</v>
      </c>
      <c r="E23" s="47"/>
    </row>
    <row r="24" spans="1:16" ht="15" customHeight="1">
      <c r="A24" s="48" t="s">
        <v>121</v>
      </c>
      <c r="B24" s="49"/>
      <c r="C24" s="50">
        <v>1541.27</v>
      </c>
    </row>
    <row r="25" spans="1:16" ht="15" customHeight="1">
      <c r="A25" s="48" t="s">
        <v>120</v>
      </c>
      <c r="B25" s="170">
        <v>0.2</v>
      </c>
      <c r="C25" s="50">
        <f>C24*20%</f>
        <v>308.25400000000002</v>
      </c>
      <c r="D25" s="51"/>
    </row>
    <row r="26" spans="1:16" s="51" customFormat="1" ht="15" customHeight="1">
      <c r="A26" s="52" t="s">
        <v>10</v>
      </c>
      <c r="B26" s="53"/>
      <c r="C26" s="54">
        <f>SUM(C24:C25)</f>
        <v>1849.5239999999999</v>
      </c>
      <c r="F26" s="55"/>
    </row>
    <row r="27" spans="1:16" ht="15" customHeight="1">
      <c r="A27" s="56"/>
      <c r="B27" s="136"/>
    </row>
    <row r="28" spans="1:16" ht="15" customHeight="1">
      <c r="A28" s="58" t="s">
        <v>53</v>
      </c>
      <c r="B28" s="57"/>
    </row>
    <row r="29" spans="1:16" ht="15" customHeight="1">
      <c r="A29" s="119" t="s">
        <v>54</v>
      </c>
      <c r="B29" s="119"/>
      <c r="C29" s="119"/>
    </row>
    <row r="30" spans="1:16" ht="15" customHeight="1">
      <c r="A30" s="59" t="s">
        <v>15</v>
      </c>
      <c r="B30" s="29">
        <v>8.3299999999999999E-2</v>
      </c>
      <c r="C30" s="60">
        <f>$C$26*B30</f>
        <v>154.06534919999999</v>
      </c>
    </row>
    <row r="31" spans="1:16" ht="15" customHeight="1">
      <c r="A31" s="59" t="s">
        <v>31</v>
      </c>
      <c r="B31" s="30">
        <v>8.3299999999999999E-2</v>
      </c>
      <c r="C31" s="60">
        <f>$C$26*B31</f>
        <v>154.06534919999999</v>
      </c>
      <c r="E31" s="61"/>
    </row>
    <row r="32" spans="1:16" ht="15" customHeight="1">
      <c r="A32" s="59" t="s">
        <v>3</v>
      </c>
      <c r="B32" s="30">
        <v>2.7799999999999998E-2</v>
      </c>
      <c r="C32" s="60">
        <f>$C$26*B32</f>
        <v>51.416767199999995</v>
      </c>
    </row>
    <row r="33" spans="1:5" ht="15" customHeight="1">
      <c r="A33" s="62" t="s">
        <v>16</v>
      </c>
      <c r="B33" s="31">
        <f>SUM(B30:B32)</f>
        <v>0.19439999999999999</v>
      </c>
      <c r="C33" s="63">
        <f>SUM(C30:C32)</f>
        <v>359.54746559999995</v>
      </c>
    </row>
    <row r="34" spans="1:5" ht="15" customHeight="1">
      <c r="A34" s="128" t="s">
        <v>106</v>
      </c>
      <c r="B34" s="29">
        <f>+B33*B47</f>
        <v>6.959520000000001E-2</v>
      </c>
      <c r="C34" s="60">
        <f>$C$26*B34</f>
        <v>128.71799268480001</v>
      </c>
    </row>
    <row r="35" spans="1:5" ht="15" customHeight="1">
      <c r="A35" s="128" t="s">
        <v>78</v>
      </c>
      <c r="B35" s="32">
        <v>3.4000000000000002E-2</v>
      </c>
      <c r="C35" s="60">
        <f>$C$26*B35</f>
        <v>62.883816000000003</v>
      </c>
      <c r="E35" s="64"/>
    </row>
    <row r="36" spans="1:5">
      <c r="A36" s="52" t="s">
        <v>13</v>
      </c>
      <c r="B36" s="31">
        <f>B34+B33+B35</f>
        <v>0.29799520000000002</v>
      </c>
      <c r="C36" s="63">
        <f>C34+C33+C35</f>
        <v>551.14927428479996</v>
      </c>
    </row>
    <row r="37" spans="1:5">
      <c r="A37" s="68"/>
      <c r="B37" s="68"/>
      <c r="C37" s="68"/>
    </row>
    <row r="38" spans="1:5" ht="31.5" customHeight="1">
      <c r="A38" s="46" t="s">
        <v>86</v>
      </c>
      <c r="B38" s="26" t="s">
        <v>9</v>
      </c>
      <c r="C38" s="26" t="s">
        <v>14</v>
      </c>
    </row>
    <row r="39" spans="1:5" ht="15" customHeight="1">
      <c r="A39" s="59" t="s">
        <v>12</v>
      </c>
      <c r="B39" s="81">
        <v>0.2</v>
      </c>
      <c r="C39" s="60">
        <f t="shared" ref="C39:C46" si="0">$C$26*B39</f>
        <v>369.90480000000002</v>
      </c>
    </row>
    <row r="40" spans="1:5" ht="15" customHeight="1">
      <c r="A40" s="59" t="s">
        <v>55</v>
      </c>
      <c r="B40" s="81">
        <v>2.5000000000000001E-2</v>
      </c>
      <c r="C40" s="60">
        <f t="shared" si="0"/>
        <v>46.238100000000003</v>
      </c>
      <c r="E40" s="65"/>
    </row>
    <row r="41" spans="1:5" ht="15" customHeight="1">
      <c r="A41" s="128" t="s">
        <v>87</v>
      </c>
      <c r="B41" s="81">
        <v>0.02</v>
      </c>
      <c r="C41" s="60">
        <f t="shared" si="0"/>
        <v>36.990479999999998</v>
      </c>
      <c r="E41" s="65"/>
    </row>
    <row r="42" spans="1:5" ht="15" customHeight="1">
      <c r="A42" s="59" t="s">
        <v>56</v>
      </c>
      <c r="B42" s="81">
        <v>1.4999999999999999E-2</v>
      </c>
      <c r="C42" s="60">
        <f t="shared" si="0"/>
        <v>27.742859999999997</v>
      </c>
    </row>
    <row r="43" spans="1:5" ht="15" customHeight="1">
      <c r="A43" s="59" t="s">
        <v>57</v>
      </c>
      <c r="B43" s="81">
        <v>0.01</v>
      </c>
      <c r="C43" s="60">
        <f t="shared" si="0"/>
        <v>18.495239999999999</v>
      </c>
    </row>
    <row r="44" spans="1:5" ht="15" customHeight="1">
      <c r="A44" s="59" t="s">
        <v>58</v>
      </c>
      <c r="B44" s="81">
        <v>6.0000000000000001E-3</v>
      </c>
      <c r="C44" s="60">
        <f t="shared" si="0"/>
        <v>11.097144</v>
      </c>
    </row>
    <row r="45" spans="1:5" ht="15" customHeight="1">
      <c r="A45" s="59" t="s">
        <v>59</v>
      </c>
      <c r="B45" s="81">
        <v>2E-3</v>
      </c>
      <c r="C45" s="60">
        <f t="shared" si="0"/>
        <v>3.6990479999999999</v>
      </c>
    </row>
    <row r="46" spans="1:5" ht="15" customHeight="1">
      <c r="A46" s="59" t="s">
        <v>60</v>
      </c>
      <c r="B46" s="81">
        <v>0.08</v>
      </c>
      <c r="C46" s="60">
        <f t="shared" si="0"/>
        <v>147.96191999999999</v>
      </c>
    </row>
    <row r="47" spans="1:5">
      <c r="A47" s="52" t="s">
        <v>62</v>
      </c>
      <c r="B47" s="66">
        <f>SUM(B39:B46)</f>
        <v>0.35800000000000004</v>
      </c>
      <c r="C47" s="67">
        <f>SUM(C39:C46)</f>
        <v>662.129592</v>
      </c>
    </row>
    <row r="48" spans="1:5" ht="15" customHeight="1">
      <c r="A48" s="68"/>
      <c r="B48" s="68"/>
      <c r="C48" s="68"/>
    </row>
    <row r="49" spans="1:5" ht="15" customHeight="1">
      <c r="A49" s="218" t="s">
        <v>61</v>
      </c>
      <c r="B49" s="218"/>
      <c r="C49" s="218"/>
    </row>
    <row r="50" spans="1:5" ht="15" customHeight="1">
      <c r="A50" s="28" t="s">
        <v>123</v>
      </c>
      <c r="B50" s="167">
        <v>6.5</v>
      </c>
      <c r="C50" s="33">
        <f>B50*30</f>
        <v>195</v>
      </c>
      <c r="E50" s="120"/>
    </row>
    <row r="51" spans="1:5" ht="15" customHeight="1">
      <c r="A51" s="28" t="s">
        <v>124</v>
      </c>
      <c r="B51" s="168">
        <v>22.55</v>
      </c>
      <c r="C51" s="33">
        <f>B51*15</f>
        <v>338.25</v>
      </c>
      <c r="E51" s="120"/>
    </row>
    <row r="52" spans="1:5" ht="15" customHeight="1">
      <c r="A52" s="116" t="s">
        <v>111</v>
      </c>
      <c r="B52" s="70"/>
      <c r="C52" s="33">
        <v>20</v>
      </c>
    </row>
    <row r="53" spans="1:5" ht="15" customHeight="1">
      <c r="A53" s="117" t="s">
        <v>75</v>
      </c>
      <c r="B53" s="70"/>
      <c r="C53" s="33">
        <v>18</v>
      </c>
    </row>
    <row r="54" spans="1:5" ht="15" customHeight="1">
      <c r="A54" s="28" t="s">
        <v>112</v>
      </c>
      <c r="B54" s="70"/>
      <c r="C54" s="67">
        <v>12</v>
      </c>
    </row>
    <row r="55" spans="1:5">
      <c r="A55" s="117" t="s">
        <v>125</v>
      </c>
      <c r="B55" s="70"/>
      <c r="C55" s="33">
        <f>C24*7%</f>
        <v>107.88890000000001</v>
      </c>
    </row>
    <row r="56" spans="1:5" ht="15" customHeight="1">
      <c r="A56" s="68" t="s">
        <v>62</v>
      </c>
      <c r="B56" s="68"/>
      <c r="C56" s="67">
        <f>SUM(C50:C55)</f>
        <v>691.13890000000004</v>
      </c>
    </row>
    <row r="57" spans="1:5" ht="15" customHeight="1">
      <c r="A57" s="71" t="s">
        <v>76</v>
      </c>
      <c r="B57" s="72"/>
      <c r="C57" s="26" t="s">
        <v>14</v>
      </c>
    </row>
    <row r="58" spans="1:5" ht="15" customHeight="1">
      <c r="A58" s="73" t="s">
        <v>54</v>
      </c>
      <c r="B58" s="74"/>
      <c r="C58" s="75"/>
    </row>
    <row r="59" spans="1:5" ht="15" customHeight="1">
      <c r="A59" s="117" t="s">
        <v>88</v>
      </c>
      <c r="B59" s="76"/>
      <c r="C59" s="77">
        <f>+C47</f>
        <v>662.129592</v>
      </c>
    </row>
    <row r="60" spans="1:5" ht="15" customHeight="1">
      <c r="A60" s="48" t="s">
        <v>61</v>
      </c>
      <c r="B60" s="74"/>
      <c r="C60" s="77">
        <f>+C56</f>
        <v>691.13890000000004</v>
      </c>
      <c r="D60" s="78"/>
    </row>
    <row r="61" spans="1:5">
      <c r="A61" s="52" t="s">
        <v>62</v>
      </c>
      <c r="B61" s="79"/>
      <c r="C61" s="75">
        <f>SUM(C58:C60)</f>
        <v>1353.2684920000002</v>
      </c>
    </row>
    <row r="62" spans="1:5" ht="15" customHeight="1">
      <c r="A62" s="68"/>
      <c r="B62" s="68"/>
      <c r="C62" s="68"/>
    </row>
    <row r="63" spans="1:5" ht="15" customHeight="1">
      <c r="A63" s="68" t="s">
        <v>63</v>
      </c>
      <c r="B63" s="68"/>
      <c r="C63" s="68"/>
    </row>
    <row r="64" spans="1:5" ht="15" customHeight="1">
      <c r="A64" s="80" t="s">
        <v>64</v>
      </c>
      <c r="B64" s="26" t="s">
        <v>9</v>
      </c>
      <c r="C64" s="26" t="s">
        <v>14</v>
      </c>
    </row>
    <row r="65" spans="1:6" ht="15" customHeight="1">
      <c r="A65" s="59" t="s">
        <v>17</v>
      </c>
      <c r="B65" s="30">
        <v>0.03</v>
      </c>
      <c r="C65" s="34">
        <f>$C$26*B65</f>
        <v>55.485719999999993</v>
      </c>
    </row>
    <row r="66" spans="1:6" ht="15" customHeight="1">
      <c r="A66" s="59" t="s">
        <v>18</v>
      </c>
      <c r="B66" s="30">
        <v>0.02</v>
      </c>
      <c r="C66" s="34">
        <f>$C$26*B66</f>
        <v>36.990479999999998</v>
      </c>
    </row>
    <row r="67" spans="1:6" ht="15" customHeight="1">
      <c r="A67" s="59" t="s">
        <v>19</v>
      </c>
      <c r="B67" s="30">
        <v>1.6199999999999999E-2</v>
      </c>
      <c r="C67" s="34">
        <f>$C$26*B67</f>
        <v>29.962288799999996</v>
      </c>
    </row>
    <row r="68" spans="1:6" ht="15" customHeight="1">
      <c r="A68" s="59" t="s">
        <v>20</v>
      </c>
      <c r="B68" s="30">
        <v>1.4999999999999999E-2</v>
      </c>
      <c r="C68" s="34">
        <f>($C$26+C52+C53)*B68</f>
        <v>28.312859999999997</v>
      </c>
      <c r="E68" s="120"/>
      <c r="F68" s="130"/>
    </row>
    <row r="69" spans="1:6" ht="15" customHeight="1">
      <c r="A69" s="59" t="s">
        <v>65</v>
      </c>
      <c r="B69" s="30">
        <v>0.02</v>
      </c>
      <c r="C69" s="34">
        <f t="shared" ref="C69" si="1">$C$26*B69</f>
        <v>36.990479999999998</v>
      </c>
    </row>
    <row r="70" spans="1:6" ht="15" customHeight="1">
      <c r="A70" s="128" t="s">
        <v>90</v>
      </c>
      <c r="B70" s="30">
        <v>0.04</v>
      </c>
      <c r="C70" s="34">
        <f>+B70*C26</f>
        <v>73.980959999999996</v>
      </c>
    </row>
    <row r="71" spans="1:6" ht="15" customHeight="1">
      <c r="A71" s="73" t="s">
        <v>13</v>
      </c>
      <c r="B71" s="31">
        <f>SUM(B65:B69)</f>
        <v>0.10120000000000001</v>
      </c>
      <c r="C71" s="63">
        <f>SUM(C65:C70)</f>
        <v>261.72278879999999</v>
      </c>
    </row>
    <row r="72" spans="1:6" ht="15" customHeight="1">
      <c r="A72" s="68"/>
      <c r="B72" s="68"/>
    </row>
    <row r="73" spans="1:6" ht="15" customHeight="1">
      <c r="A73" s="68" t="s">
        <v>79</v>
      </c>
      <c r="B73" s="68"/>
      <c r="C73" s="127">
        <f>+C26+C33+C47+C52+C71+C78+C84</f>
        <v>3188.8279152591058</v>
      </c>
    </row>
    <row r="74" spans="1:6" ht="15" customHeight="1">
      <c r="A74" s="218" t="s">
        <v>92</v>
      </c>
      <c r="B74" s="218"/>
      <c r="C74" s="218"/>
      <c r="E74" s="65"/>
    </row>
    <row r="75" spans="1:6" ht="15" customHeight="1">
      <c r="A75" s="28" t="s">
        <v>93</v>
      </c>
      <c r="B75" s="30">
        <v>8.8400000000000006E-3</v>
      </c>
      <c r="C75" s="33">
        <f>+B75*C73</f>
        <v>28.189238770890498</v>
      </c>
    </row>
    <row r="76" spans="1:6" ht="15" customHeight="1">
      <c r="A76" s="28" t="s">
        <v>94</v>
      </c>
      <c r="B76" s="30">
        <v>7.0000000000000001E-3</v>
      </c>
      <c r="C76" s="33">
        <f>+B76*C73</f>
        <v>22.321795406813742</v>
      </c>
    </row>
    <row r="77" spans="1:6" ht="15" customHeight="1">
      <c r="A77" s="28" t="s">
        <v>95</v>
      </c>
      <c r="B77" s="30">
        <v>5.7000000000000002E-3</v>
      </c>
      <c r="C77" s="33">
        <f>+B77*C73</f>
        <v>18.176319116976902</v>
      </c>
    </row>
    <row r="78" spans="1:6" ht="15" customHeight="1">
      <c r="A78" s="28" t="s">
        <v>96</v>
      </c>
      <c r="B78" s="30">
        <v>4.4999999999999997E-3</v>
      </c>
      <c r="C78" s="33">
        <f>B78*C26+((C52)*3.95*0.02)/12+(((3.95*C26+3.95/12*C26)*B47+(0)*0.08)*0.02)/12</f>
        <v>13.176796131833331</v>
      </c>
    </row>
    <row r="79" spans="1:6" ht="15" customHeight="1">
      <c r="A79" s="28" t="s">
        <v>97</v>
      </c>
      <c r="B79" s="81"/>
      <c r="C79" s="50">
        <f>+B79*$C$26</f>
        <v>0</v>
      </c>
    </row>
    <row r="80" spans="1:6" ht="15" customHeight="1">
      <c r="A80" s="73" t="s">
        <v>13</v>
      </c>
      <c r="B80" s="81"/>
      <c r="C80" s="67">
        <f>SUM(C75:C79)</f>
        <v>81.864149426514473</v>
      </c>
    </row>
    <row r="81" spans="1:5" ht="15" customHeight="1">
      <c r="A81" s="82"/>
      <c r="B81" s="68"/>
      <c r="C81" s="68"/>
    </row>
    <row r="82" spans="1:5" ht="15" customHeight="1">
      <c r="A82" s="68" t="s">
        <v>80</v>
      </c>
      <c r="B82" s="83"/>
      <c r="C82" s="84"/>
    </row>
    <row r="83" spans="1:5" ht="15" customHeight="1">
      <c r="A83" s="119" t="s">
        <v>66</v>
      </c>
      <c r="B83" s="72"/>
      <c r="C83" s="26" t="s">
        <v>14</v>
      </c>
    </row>
    <row r="84" spans="1:5" ht="15" customHeight="1">
      <c r="A84" s="21" t="s">
        <v>11</v>
      </c>
      <c r="B84" s="74"/>
      <c r="C84" s="77">
        <f>Uniformes!G9</f>
        <v>22.727272727272727</v>
      </c>
    </row>
    <row r="85" spans="1:5" ht="15" customHeight="1">
      <c r="A85" s="131" t="s">
        <v>107</v>
      </c>
      <c r="B85" s="81"/>
      <c r="C85" s="50">
        <v>161</v>
      </c>
    </row>
    <row r="86" spans="1:5" ht="15" customHeight="1">
      <c r="A86" s="73" t="s">
        <v>13</v>
      </c>
      <c r="B86" s="81"/>
      <c r="C86" s="67">
        <f>SUM(C84:C85)</f>
        <v>183.72727272727272</v>
      </c>
    </row>
    <row r="87" spans="1:5" ht="15" customHeight="1">
      <c r="A87" s="58"/>
      <c r="B87" s="83"/>
      <c r="C87" s="84"/>
    </row>
    <row r="88" spans="1:5" ht="15" customHeight="1">
      <c r="A88" s="68" t="s">
        <v>67</v>
      </c>
      <c r="B88" s="85"/>
      <c r="C88" s="86"/>
    </row>
    <row r="89" spans="1:5" ht="15" customHeight="1">
      <c r="A89" s="71" t="s">
        <v>69</v>
      </c>
      <c r="B89" s="87" t="s">
        <v>9</v>
      </c>
      <c r="C89" s="88" t="s">
        <v>14</v>
      </c>
      <c r="E89" s="93"/>
    </row>
    <row r="90" spans="1:5" ht="15" customHeight="1">
      <c r="A90" s="212" t="s">
        <v>81</v>
      </c>
      <c r="B90" s="212"/>
      <c r="C90" s="219">
        <f>+C86+C80+C71+C61+C26</f>
        <v>3730.1067029537871</v>
      </c>
      <c r="E90" s="93"/>
    </row>
    <row r="91" spans="1:5" ht="15" customHeight="1">
      <c r="A91" s="212"/>
      <c r="B91" s="212"/>
      <c r="C91" s="219"/>
    </row>
    <row r="92" spans="1:5" ht="15" customHeight="1">
      <c r="A92" s="89" t="s">
        <v>113</v>
      </c>
      <c r="B92" s="162">
        <v>1.2411E-2</v>
      </c>
      <c r="C92" s="63">
        <f>C90*B92</f>
        <v>46.29435429035945</v>
      </c>
    </row>
    <row r="93" spans="1:5" ht="15" customHeight="1">
      <c r="A93" s="220" t="s">
        <v>82</v>
      </c>
      <c r="B93" s="220"/>
      <c r="C93" s="219">
        <f>C90+C92</f>
        <v>3776.4010572441466</v>
      </c>
    </row>
    <row r="94" spans="1:5" ht="15" customHeight="1">
      <c r="A94" s="220"/>
      <c r="B94" s="220"/>
      <c r="C94" s="219"/>
    </row>
    <row r="95" spans="1:5" ht="15" customHeight="1">
      <c r="A95" s="89" t="s">
        <v>4</v>
      </c>
      <c r="B95" s="163">
        <v>3.8094999999999997E-2</v>
      </c>
      <c r="C95" s="63">
        <f>C93*B95</f>
        <v>143.86199827571576</v>
      </c>
    </row>
    <row r="96" spans="1:5" ht="15" customHeight="1">
      <c r="A96" s="90" t="s">
        <v>5</v>
      </c>
      <c r="B96" s="158"/>
      <c r="C96" s="69"/>
    </row>
    <row r="97" spans="1:9" ht="15" customHeight="1">
      <c r="A97" s="212" t="s">
        <v>68</v>
      </c>
      <c r="B97" s="212"/>
      <c r="C97" s="91">
        <f>+C95+C92+C90</f>
        <v>3920.2630555198625</v>
      </c>
    </row>
    <row r="98" spans="1:9" ht="21" customHeight="1">
      <c r="A98" s="212" t="s">
        <v>30</v>
      </c>
      <c r="B98" s="212"/>
      <c r="C98" s="212"/>
    </row>
    <row r="99" spans="1:9" ht="15" customHeight="1">
      <c r="A99" s="48" t="s">
        <v>83</v>
      </c>
      <c r="B99" s="213"/>
      <c r="C99" s="214"/>
      <c r="H99" s="113"/>
      <c r="I99" s="113"/>
    </row>
    <row r="100" spans="1:9" ht="15" customHeight="1">
      <c r="A100" s="48" t="s">
        <v>77</v>
      </c>
      <c r="B100" s="92">
        <v>0.03</v>
      </c>
      <c r="C100" s="63">
        <f>(C97)*B100/(1-(B103))</f>
        <v>127.35018047167934</v>
      </c>
      <c r="E100" s="93"/>
      <c r="H100" s="114"/>
      <c r="I100" s="114"/>
    </row>
    <row r="101" spans="1:9" ht="15" customHeight="1">
      <c r="A101" s="48" t="s">
        <v>21</v>
      </c>
      <c r="B101" s="92">
        <v>1.6500000000000001E-2</v>
      </c>
      <c r="C101" s="63">
        <f>(C97)*B101/(1-(B103))</f>
        <v>70.042599259423639</v>
      </c>
      <c r="H101" s="114"/>
      <c r="I101" s="114"/>
    </row>
    <row r="102" spans="1:9" ht="15" customHeight="1">
      <c r="A102" s="48" t="s">
        <v>84</v>
      </c>
      <c r="B102" s="164">
        <v>0.03</v>
      </c>
      <c r="C102" s="63">
        <f>(C97)*B102/(1-(B103))</f>
        <v>127.35018047167934</v>
      </c>
      <c r="I102" s="114"/>
    </row>
    <row r="103" spans="1:9" ht="15" customHeight="1">
      <c r="A103" s="3" t="s">
        <v>6</v>
      </c>
      <c r="B103" s="27">
        <f>SUM(B100:B102)</f>
        <v>7.6499999999999999E-2</v>
      </c>
      <c r="C103" s="4">
        <f>SUM(C100:C102)</f>
        <v>324.74296020278229</v>
      </c>
    </row>
    <row r="104" spans="1:9" ht="15" customHeight="1">
      <c r="A104" s="215"/>
      <c r="B104" s="216"/>
      <c r="C104" s="217"/>
    </row>
    <row r="105" spans="1:9" ht="15" customHeight="1">
      <c r="A105" s="73" t="s">
        <v>13</v>
      </c>
      <c r="B105" s="94"/>
      <c r="C105" s="63">
        <f>C92+C95+C103</f>
        <v>514.8993127688575</v>
      </c>
    </row>
    <row r="106" spans="1:9" ht="15" customHeight="1">
      <c r="A106" s="58"/>
      <c r="B106" s="111"/>
      <c r="C106" s="112"/>
    </row>
    <row r="107" spans="1:9" ht="15" customHeight="1" thickBot="1">
      <c r="A107" s="95"/>
      <c r="B107" s="96"/>
    </row>
    <row r="108" spans="1:9" ht="25.5" customHeight="1" thickBot="1">
      <c r="A108" s="209" t="s">
        <v>22</v>
      </c>
      <c r="B108" s="210"/>
      <c r="C108" s="211"/>
    </row>
    <row r="109" spans="1:9" ht="8.25" customHeight="1">
      <c r="A109" s="95"/>
      <c r="B109" s="96"/>
    </row>
    <row r="110" spans="1:9" ht="15" customHeight="1">
      <c r="A110" s="97" t="s">
        <v>23</v>
      </c>
      <c r="B110" s="98"/>
      <c r="C110" s="26" t="s">
        <v>24</v>
      </c>
    </row>
    <row r="111" spans="1:9" ht="15" customHeight="1">
      <c r="A111" s="99" t="s">
        <v>25</v>
      </c>
      <c r="B111" s="100"/>
      <c r="C111" s="101">
        <f>C26</f>
        <v>1849.5239999999999</v>
      </c>
    </row>
    <row r="112" spans="1:9" ht="15" customHeight="1">
      <c r="A112" s="99" t="s">
        <v>70</v>
      </c>
      <c r="B112" s="100"/>
      <c r="C112" s="101">
        <f>+C61</f>
        <v>1353.2684920000002</v>
      </c>
    </row>
    <row r="113" spans="1:5" ht="15" customHeight="1">
      <c r="A113" s="99" t="s">
        <v>71</v>
      </c>
      <c r="B113" s="100"/>
      <c r="C113" s="101">
        <f>+C71</f>
        <v>261.72278879999999</v>
      </c>
    </row>
    <row r="114" spans="1:5" ht="15" customHeight="1">
      <c r="A114" s="99" t="s">
        <v>72</v>
      </c>
      <c r="B114" s="100"/>
      <c r="C114" s="101">
        <f>+C80</f>
        <v>81.864149426514473</v>
      </c>
    </row>
    <row r="115" spans="1:5" ht="15" customHeight="1">
      <c r="A115" s="99" t="s">
        <v>73</v>
      </c>
      <c r="B115" s="100"/>
      <c r="C115" s="101">
        <f>+C86</f>
        <v>183.72727272727272</v>
      </c>
    </row>
    <row r="116" spans="1:5" ht="15" customHeight="1">
      <c r="A116" s="89" t="s">
        <v>89</v>
      </c>
      <c r="B116" s="2"/>
      <c r="C116" s="102">
        <f>SUM(C111:C115)</f>
        <v>3730.1067029537871</v>
      </c>
    </row>
    <row r="117" spans="1:5" ht="15" customHeight="1">
      <c r="A117" s="99" t="s">
        <v>74</v>
      </c>
      <c r="B117" s="100"/>
      <c r="C117" s="101">
        <f>C105</f>
        <v>514.8993127688575</v>
      </c>
    </row>
    <row r="118" spans="1:5" ht="15" customHeight="1">
      <c r="A118" s="103" t="s">
        <v>26</v>
      </c>
      <c r="B118" s="103"/>
      <c r="C118" s="104">
        <f>TRUNC(C116+C117,2)</f>
        <v>4245</v>
      </c>
      <c r="E118" s="129"/>
    </row>
    <row r="119" spans="1:5" ht="15" customHeight="1">
      <c r="A119" s="103" t="s">
        <v>137</v>
      </c>
      <c r="B119" s="103"/>
      <c r="C119" s="104">
        <f>C118*4</f>
        <v>16980</v>
      </c>
    </row>
    <row r="120" spans="1:5" ht="15" customHeight="1">
      <c r="A120" s="103" t="s">
        <v>138</v>
      </c>
      <c r="B120" s="103"/>
      <c r="C120" s="104">
        <f>C119*12</f>
        <v>203760</v>
      </c>
    </row>
    <row r="121" spans="1:5" ht="15" customHeight="1">
      <c r="A121" s="165"/>
      <c r="B121"/>
      <c r="C121"/>
      <c r="D121"/>
      <c r="E121"/>
    </row>
    <row r="122" spans="1:5" ht="15" customHeight="1">
      <c r="A122" s="165"/>
      <c r="B122" s="115"/>
      <c r="C122" s="115"/>
      <c r="D122"/>
      <c r="E122"/>
    </row>
    <row r="123" spans="1:5" ht="15" customHeight="1">
      <c r="A123" s="1"/>
      <c r="B123" s="115"/>
      <c r="C123"/>
      <c r="D123"/>
      <c r="E123"/>
    </row>
    <row r="124" spans="1:5" ht="15" customHeight="1"/>
    <row r="125" spans="1:5" ht="15" customHeight="1"/>
    <row r="126" spans="1:5" ht="15" customHeight="1"/>
    <row r="127" spans="1:5" ht="15" customHeight="1">
      <c r="A127" s="106"/>
      <c r="B127" s="106"/>
    </row>
    <row r="128" spans="1:5" ht="15" customHeight="1">
      <c r="A128" s="38"/>
      <c r="B128" s="57"/>
    </row>
    <row r="129" spans="1:2" ht="15" customHeight="1">
      <c r="A129" s="38"/>
      <c r="B129" s="57"/>
    </row>
    <row r="130" spans="1:2" ht="15" customHeight="1">
      <c r="A130" s="107"/>
      <c r="B130" s="57"/>
    </row>
    <row r="131" spans="1:2">
      <c r="A131" s="107"/>
      <c r="B131" s="57"/>
    </row>
    <row r="132" spans="1:2">
      <c r="A132" s="107"/>
      <c r="B132" s="57"/>
    </row>
    <row r="133" spans="1:2">
      <c r="A133" s="107"/>
      <c r="B133" s="57"/>
    </row>
    <row r="134" spans="1:2">
      <c r="A134" s="108"/>
      <c r="B134" s="57"/>
    </row>
    <row r="135" spans="1:2">
      <c r="A135" s="107"/>
      <c r="B135" s="57"/>
    </row>
    <row r="136" spans="1:2">
      <c r="A136" s="107"/>
      <c r="B136" s="57"/>
    </row>
    <row r="137" spans="1:2">
      <c r="A137" s="107"/>
      <c r="B137" s="57"/>
    </row>
    <row r="138" spans="1:2">
      <c r="A138" s="107"/>
      <c r="B138" s="57"/>
    </row>
    <row r="139" spans="1:2">
      <c r="A139" s="107"/>
      <c r="B139" s="57"/>
    </row>
    <row r="140" spans="1:2">
      <c r="A140" s="107"/>
      <c r="B140" s="57"/>
    </row>
    <row r="141" spans="1:2">
      <c r="A141" s="107"/>
      <c r="B141" s="57"/>
    </row>
    <row r="142" spans="1:2">
      <c r="A142" s="107"/>
      <c r="B142" s="57"/>
    </row>
    <row r="143" spans="1:2">
      <c r="A143" s="107"/>
      <c r="B143" s="57"/>
    </row>
    <row r="144" spans="1:2">
      <c r="A144" s="109"/>
      <c r="B144" s="96"/>
    </row>
    <row r="145" spans="1:2">
      <c r="A145" s="106"/>
      <c r="B145" s="106"/>
    </row>
    <row r="146" spans="1:2">
      <c r="A146" s="110"/>
      <c r="B146" s="106"/>
    </row>
    <row r="147" spans="1:2">
      <c r="A147" s="110"/>
      <c r="B147" s="106"/>
    </row>
  </sheetData>
  <mergeCells count="22">
    <mergeCell ref="A49:C49"/>
    <mergeCell ref="A74:C74"/>
    <mergeCell ref="A90:B91"/>
    <mergeCell ref="C90:C91"/>
    <mergeCell ref="A93:B94"/>
    <mergeCell ref="C93:C94"/>
    <mergeCell ref="A108:C108"/>
    <mergeCell ref="A97:B97"/>
    <mergeCell ref="A98:C98"/>
    <mergeCell ref="B99:C99"/>
    <mergeCell ref="A104:C104"/>
    <mergeCell ref="B17:C17"/>
    <mergeCell ref="B14:C14"/>
    <mergeCell ref="B15:C15"/>
    <mergeCell ref="B16:C16"/>
    <mergeCell ref="A19:C20"/>
    <mergeCell ref="B13:C13"/>
    <mergeCell ref="A1:C1"/>
    <mergeCell ref="A2:C2"/>
    <mergeCell ref="A6:C6"/>
    <mergeCell ref="A9:C9"/>
    <mergeCell ref="A5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fitToHeight="2" orientation="portrait" r:id="rId1"/>
  <headerFooter alignWithMargins="0"/>
  <rowBreaks count="1" manualBreakCount="1">
    <brk id="62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B1:G16"/>
  <sheetViews>
    <sheetView zoomScaleNormal="100" zoomScaleSheetLayoutView="90" workbookViewId="0">
      <selection activeCell="B8" sqref="B8:F8"/>
    </sheetView>
  </sheetViews>
  <sheetFormatPr defaultColWidth="9.109375" defaultRowHeight="13.2"/>
  <cols>
    <col min="1" max="1" width="4.44140625" style="121" customWidth="1"/>
    <col min="2" max="2" width="9.109375" style="121"/>
    <col min="3" max="3" width="83.44140625" style="121" customWidth="1"/>
    <col min="4" max="4" width="11.44140625" style="121" customWidth="1"/>
    <col min="5" max="5" width="17.44140625" style="121" customWidth="1"/>
    <col min="6" max="7" width="15.6640625" style="121" customWidth="1"/>
    <col min="8" max="8" width="4.5546875" style="121" customWidth="1"/>
    <col min="9" max="9" width="9.109375" style="121"/>
    <col min="10" max="10" width="18.6640625" style="121" bestFit="1" customWidth="1"/>
    <col min="11" max="16384" width="9.109375" style="121"/>
  </cols>
  <sheetData>
    <row r="1" spans="2:7">
      <c r="B1" s="225" t="s">
        <v>34</v>
      </c>
      <c r="C1" s="225"/>
      <c r="D1" s="225"/>
      <c r="E1" s="225"/>
      <c r="F1" s="225"/>
      <c r="G1" s="225"/>
    </row>
    <row r="2" spans="2:7" ht="13.8" thickBot="1">
      <c r="B2" s="115"/>
      <c r="C2" s="115"/>
      <c r="D2" s="115"/>
      <c r="E2" s="115"/>
      <c r="F2" s="115"/>
      <c r="G2" s="115"/>
    </row>
    <row r="3" spans="2:7" ht="13.8" thickBot="1">
      <c r="B3" s="226" t="s">
        <v>127</v>
      </c>
      <c r="C3" s="227"/>
      <c r="D3" s="227"/>
      <c r="E3" s="227"/>
      <c r="F3" s="227"/>
      <c r="G3" s="228"/>
    </row>
    <row r="4" spans="2:7" ht="40.200000000000003" thickBot="1">
      <c r="B4" s="139" t="s">
        <v>32</v>
      </c>
      <c r="C4" s="140" t="s">
        <v>35</v>
      </c>
      <c r="D4" s="140" t="s">
        <v>98</v>
      </c>
      <c r="E4" s="140" t="s">
        <v>91</v>
      </c>
      <c r="F4" s="140" t="s">
        <v>36</v>
      </c>
      <c r="G4" s="141" t="s">
        <v>37</v>
      </c>
    </row>
    <row r="5" spans="2:7" ht="13.8">
      <c r="B5" s="142">
        <v>1</v>
      </c>
      <c r="C5" s="143" t="s">
        <v>128</v>
      </c>
      <c r="D5" s="144" t="s">
        <v>98</v>
      </c>
      <c r="E5" s="144">
        <v>2</v>
      </c>
      <c r="F5" s="124">
        <v>60</v>
      </c>
      <c r="G5" s="126">
        <f t="shared" ref="G5:G7" si="0">E5*F5</f>
        <v>120</v>
      </c>
    </row>
    <row r="6" spans="2:7" ht="13.8">
      <c r="B6" s="142">
        <v>2</v>
      </c>
      <c r="C6" s="143" t="s">
        <v>126</v>
      </c>
      <c r="D6" s="144" t="s">
        <v>98</v>
      </c>
      <c r="E6" s="144">
        <v>2</v>
      </c>
      <c r="F6" s="124">
        <v>40</v>
      </c>
      <c r="G6" s="126">
        <f t="shared" si="0"/>
        <v>80</v>
      </c>
    </row>
    <row r="7" spans="2:7" ht="14.4" thickBot="1">
      <c r="B7" s="145">
        <v>3</v>
      </c>
      <c r="C7" s="146" t="s">
        <v>115</v>
      </c>
      <c r="D7" s="147" t="s">
        <v>99</v>
      </c>
      <c r="E7" s="147">
        <v>1</v>
      </c>
      <c r="F7" s="135">
        <v>50</v>
      </c>
      <c r="G7" s="138">
        <f t="shared" si="0"/>
        <v>50</v>
      </c>
    </row>
    <row r="8" spans="2:7" ht="13.8" thickBot="1">
      <c r="B8" s="221" t="s">
        <v>38</v>
      </c>
      <c r="C8" s="222"/>
      <c r="D8" s="222"/>
      <c r="E8" s="222"/>
      <c r="F8" s="222"/>
      <c r="G8" s="134">
        <f>SUM(G5:G7)</f>
        <v>250</v>
      </c>
    </row>
    <row r="9" spans="2:7" ht="13.8" thickBot="1">
      <c r="B9" s="223" t="s">
        <v>39</v>
      </c>
      <c r="C9" s="224"/>
      <c r="D9" s="224"/>
      <c r="E9" s="224"/>
      <c r="F9" s="224"/>
      <c r="G9" s="125">
        <f>+G8/11</f>
        <v>22.727272727272727</v>
      </c>
    </row>
    <row r="10" spans="2:7">
      <c r="B10" s="123"/>
      <c r="C10" s="123"/>
      <c r="D10" s="123"/>
      <c r="E10" s="123"/>
      <c r="F10" s="123"/>
      <c r="G10" s="6"/>
    </row>
    <row r="11" spans="2:7">
      <c r="B11" s="123"/>
      <c r="C11" s="123"/>
      <c r="D11" s="123"/>
      <c r="E11" s="123"/>
      <c r="F11" s="123"/>
      <c r="G11" s="6"/>
    </row>
    <row r="12" spans="2:7">
      <c r="B12" s="229"/>
      <c r="C12" s="229"/>
      <c r="D12" s="229"/>
      <c r="E12" s="229"/>
      <c r="F12" s="229"/>
      <c r="G12" s="229"/>
    </row>
    <row r="13" spans="2:7" ht="15.6">
      <c r="B13" s="122"/>
      <c r="C13" s="1"/>
      <c r="D13" s="122"/>
      <c r="E13" s="122"/>
      <c r="F13" s="122"/>
      <c r="G13" s="122"/>
    </row>
    <row r="14" spans="2:7">
      <c r="B14" s="122"/>
      <c r="C14" s="165"/>
      <c r="D14" s="122"/>
      <c r="E14"/>
      <c r="F14"/>
      <c r="G14"/>
    </row>
    <row r="15" spans="2:7">
      <c r="C15" s="165"/>
      <c r="E15" s="115"/>
      <c r="F15" s="115"/>
      <c r="G15"/>
    </row>
    <row r="16" spans="2:7" ht="15.6">
      <c r="C16" s="1"/>
      <c r="E16" s="115"/>
      <c r="F16"/>
      <c r="G16"/>
    </row>
  </sheetData>
  <mergeCells count="5">
    <mergeCell ref="B8:F8"/>
    <mergeCell ref="B9:F9"/>
    <mergeCell ref="B1:G1"/>
    <mergeCell ref="B3:G3"/>
    <mergeCell ref="B12:G12"/>
  </mergeCells>
  <phoneticPr fontId="18" type="noConversion"/>
  <printOptions horizontalCentered="1"/>
  <pageMargins left="0.23622047244094491" right="0.23622047244094491" top="0.74803149606299213" bottom="0.74803149606299213" header="0.31496062992125984" footer="0.31496062992125984"/>
  <pageSetup scale="66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I27"/>
  <sheetViews>
    <sheetView zoomScaleNormal="100" zoomScaleSheetLayoutView="100" workbookViewId="0">
      <selection activeCell="H10" sqref="H10"/>
    </sheetView>
  </sheetViews>
  <sheetFormatPr defaultRowHeight="13.2"/>
  <cols>
    <col min="2" max="2" width="61" bestFit="1" customWidth="1"/>
    <col min="3" max="4" width="10.6640625" customWidth="1"/>
  </cols>
  <sheetData>
    <row r="2" spans="2:9">
      <c r="B2" s="225" t="s">
        <v>0</v>
      </c>
      <c r="C2" s="225"/>
      <c r="D2" s="225"/>
      <c r="E2" s="7"/>
    </row>
    <row r="3" spans="2:9">
      <c r="B3" s="234" t="s">
        <v>1</v>
      </c>
      <c r="C3" s="234"/>
      <c r="D3" s="234"/>
      <c r="E3" s="8"/>
    </row>
    <row r="4" spans="2:9" ht="13.8" thickBot="1"/>
    <row r="5" spans="2:9" ht="13.8" thickBot="1">
      <c r="B5" s="9" t="s">
        <v>40</v>
      </c>
      <c r="C5" s="235" t="s">
        <v>41</v>
      </c>
      <c r="D5" s="236"/>
      <c r="E5" s="5"/>
    </row>
    <row r="6" spans="2:9" ht="20.100000000000001" customHeight="1" thickBot="1">
      <c r="B6" s="10" t="s">
        <v>42</v>
      </c>
      <c r="C6" s="232">
        <v>8.3299999999999999E-2</v>
      </c>
      <c r="D6" s="233"/>
      <c r="E6" s="5"/>
    </row>
    <row r="7" spans="2:9" ht="20.100000000000001" customHeight="1" thickBot="1">
      <c r="B7" s="10" t="s">
        <v>43</v>
      </c>
      <c r="C7" s="232">
        <f>(1/3)*C6</f>
        <v>2.7766666666666665E-2</v>
      </c>
      <c r="D7" s="233"/>
      <c r="E7" s="11"/>
    </row>
    <row r="8" spans="2:9" ht="20.100000000000001" customHeight="1" thickBot="1">
      <c r="B8" s="10" t="s">
        <v>2</v>
      </c>
      <c r="C8" s="232">
        <v>8.3299999999999999E-2</v>
      </c>
      <c r="D8" s="233"/>
    </row>
    <row r="9" spans="2:9" ht="20.100000000000001" customHeight="1" thickBot="1">
      <c r="B9" s="12" t="s">
        <v>16</v>
      </c>
      <c r="C9" s="230">
        <f>SUM(C6:D8)</f>
        <v>0.19436666666666666</v>
      </c>
      <c r="D9" s="231"/>
    </row>
    <row r="10" spans="2:9" ht="20.100000000000001" customHeight="1" thickBot="1">
      <c r="B10" s="10"/>
      <c r="C10" s="13" t="s">
        <v>44</v>
      </c>
      <c r="D10" s="14" t="s">
        <v>45</v>
      </c>
      <c r="G10" s="132"/>
    </row>
    <row r="11" spans="2:9" ht="20.100000000000001" customHeight="1" thickBot="1">
      <c r="B11" s="10" t="s">
        <v>46</v>
      </c>
      <c r="C11" s="15">
        <v>0.34300000000000003</v>
      </c>
      <c r="D11" s="16">
        <v>0.39800000000000002</v>
      </c>
    </row>
    <row r="12" spans="2:9" ht="27" thickBot="1">
      <c r="B12" s="10" t="s">
        <v>47</v>
      </c>
      <c r="C12" s="15">
        <f>TRUNC(C9*C11,4)</f>
        <v>6.6600000000000006E-2</v>
      </c>
      <c r="D12" s="22">
        <f>C9*D11</f>
        <v>7.7357933333333337E-2</v>
      </c>
    </row>
    <row r="13" spans="2:9" ht="20.100000000000001" customHeight="1" thickBot="1">
      <c r="B13" s="10" t="s">
        <v>48</v>
      </c>
      <c r="C13" s="232">
        <v>3.4700000000000002E-2</v>
      </c>
      <c r="D13" s="233"/>
      <c r="E13" s="17"/>
      <c r="G13" s="133"/>
      <c r="H13" s="133"/>
      <c r="I13" s="133"/>
    </row>
    <row r="14" spans="2:9" ht="20.100000000000001" customHeight="1" thickBot="1">
      <c r="B14" s="18" t="s">
        <v>49</v>
      </c>
      <c r="C14" s="23">
        <f>C9+C12+C13</f>
        <v>0.29566666666666669</v>
      </c>
      <c r="D14" s="24">
        <f>C9+D12+C13+0.0001</f>
        <v>0.30652459999999998</v>
      </c>
    </row>
    <row r="15" spans="2:9" ht="20.100000000000001" customHeight="1">
      <c r="B15" s="19" t="s">
        <v>50</v>
      </c>
    </row>
    <row r="19" spans="2:5" ht="15.6">
      <c r="B19" s="1"/>
    </row>
    <row r="20" spans="2:5">
      <c r="B20" s="165"/>
    </row>
    <row r="21" spans="2:5">
      <c r="B21" s="165"/>
      <c r="D21" s="115"/>
      <c r="E21" s="115"/>
    </row>
    <row r="22" spans="2:5" ht="15.6">
      <c r="B22" s="1"/>
      <c r="D22" s="115"/>
    </row>
    <row r="27" spans="2:5">
      <c r="C27" s="115"/>
    </row>
  </sheetData>
  <mergeCells count="8">
    <mergeCell ref="C9:D9"/>
    <mergeCell ref="C13:D13"/>
    <mergeCell ref="B2:D2"/>
    <mergeCell ref="B3:D3"/>
    <mergeCell ref="C5:D5"/>
    <mergeCell ref="C6:D6"/>
    <mergeCell ref="C7:D7"/>
    <mergeCell ref="C8:D8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TOTAL CONTRATO</vt:lpstr>
      <vt:lpstr>Serviços Gerais 40h</vt:lpstr>
      <vt:lpstr>Uniformes</vt:lpstr>
      <vt:lpstr>CTG</vt:lpstr>
      <vt:lpstr>CTG!Area_de_impressao</vt:lpstr>
      <vt:lpstr>'Serviços Gerais 40h'!Area_de_impressao</vt:lpstr>
      <vt:lpstr>Uniformes!Area_de_impressao</vt:lpstr>
    </vt:vector>
  </TitlesOfParts>
  <Company>Tribunal de Justiça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rjb</dc:creator>
  <cp:lastModifiedBy>PAULO ERCEGO</cp:lastModifiedBy>
  <cp:lastPrinted>2022-10-31T14:34:32Z</cp:lastPrinted>
  <dcterms:created xsi:type="dcterms:W3CDTF">2011-05-27T16:59:43Z</dcterms:created>
  <dcterms:modified xsi:type="dcterms:W3CDTF">2024-07-25T18:04:27Z</dcterms:modified>
</cp:coreProperties>
</file>